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5\"/>
    </mc:Choice>
  </mc:AlternateContent>
  <xr:revisionPtr revIDLastSave="0" documentId="13_ncr:1_{09223B6C-A561-4D9D-B26A-A4937F26F8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  <sheet name="LABOR JTD 7.21.2026" sheetId="7" r:id="rId3"/>
    <sheet name="LABOR JTD 6.18.2026" sheetId="6" r:id="rId4"/>
    <sheet name="LABOR JTD 5.15.2026" sheetId="5" r:id="rId5"/>
    <sheet name="LABOR JTD 4.10.2026" sheetId="4" r:id="rId6"/>
    <sheet name="LABOR JTD 3.7.2026" sheetId="3" r:id="rId7"/>
  </sheets>
  <definedNames>
    <definedName name="_xlnm.Print_Area" localSheetId="0">A!$A$1:$M$41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1" i="2" l="1"/>
  <c r="G35" i="2"/>
  <c r="G29" i="2"/>
  <c r="G26" i="2"/>
  <c r="G25" i="2"/>
  <c r="G24" i="2"/>
  <c r="G23" i="2"/>
  <c r="G20" i="2"/>
  <c r="G14" i="2"/>
  <c r="G13" i="2"/>
  <c r="G46" i="2" l="1"/>
  <c r="I91" i="7"/>
  <c r="G91" i="7"/>
  <c r="E91" i="7"/>
  <c r="C91" i="7"/>
  <c r="J90" i="7"/>
  <c r="G90" i="7"/>
  <c r="I87" i="7"/>
  <c r="E87" i="7"/>
  <c r="C87" i="7"/>
  <c r="J86" i="7"/>
  <c r="G86" i="7"/>
  <c r="G87" i="7" s="1"/>
  <c r="I83" i="7"/>
  <c r="C83" i="7"/>
  <c r="G82" i="7"/>
  <c r="G81" i="7"/>
  <c r="G80" i="7"/>
  <c r="G79" i="7"/>
  <c r="G78" i="7"/>
  <c r="G77" i="7"/>
  <c r="G76" i="7"/>
  <c r="G75" i="7"/>
  <c r="E74" i="7"/>
  <c r="E83" i="7" s="1"/>
  <c r="I71" i="7"/>
  <c r="C71" i="7"/>
  <c r="G70" i="7"/>
  <c r="G62" i="7" s="1"/>
  <c r="J62" i="7" s="1"/>
  <c r="G69" i="7"/>
  <c r="G68" i="7"/>
  <c r="G67" i="7"/>
  <c r="G66" i="7"/>
  <c r="G65" i="7"/>
  <c r="G64" i="7"/>
  <c r="G63" i="7"/>
  <c r="E62" i="7"/>
  <c r="E71" i="7" s="1"/>
  <c r="I59" i="7"/>
  <c r="C59" i="7"/>
  <c r="G57" i="7"/>
  <c r="G56" i="7"/>
  <c r="G55" i="7"/>
  <c r="G54" i="7"/>
  <c r="G53" i="7"/>
  <c r="G52" i="7"/>
  <c r="G51" i="7"/>
  <c r="G50" i="7"/>
  <c r="E49" i="7"/>
  <c r="G48" i="7"/>
  <c r="G47" i="7"/>
  <c r="G46" i="7"/>
  <c r="G45" i="7"/>
  <c r="G44" i="7"/>
  <c r="G43" i="7"/>
  <c r="G42" i="7"/>
  <c r="G41" i="7"/>
  <c r="E40" i="7"/>
  <c r="G39" i="7"/>
  <c r="G38" i="7"/>
  <c r="G37" i="7"/>
  <c r="G36" i="7"/>
  <c r="G35" i="7"/>
  <c r="G34" i="7"/>
  <c r="G33" i="7"/>
  <c r="G32" i="7"/>
  <c r="E31" i="7"/>
  <c r="G30" i="7"/>
  <c r="G29" i="7"/>
  <c r="G28" i="7"/>
  <c r="G27" i="7"/>
  <c r="G26" i="7"/>
  <c r="G25" i="7"/>
  <c r="G24" i="7"/>
  <c r="G23" i="7"/>
  <c r="E22" i="7"/>
  <c r="G21" i="7"/>
  <c r="J21" i="7" s="1"/>
  <c r="G20" i="7"/>
  <c r="J20" i="7" s="1"/>
  <c r="G19" i="7"/>
  <c r="G18" i="7"/>
  <c r="G17" i="7"/>
  <c r="G16" i="7"/>
  <c r="G15" i="7"/>
  <c r="G14" i="7"/>
  <c r="G13" i="7"/>
  <c r="G12" i="7"/>
  <c r="E11" i="7"/>
  <c r="G9" i="7"/>
  <c r="G8" i="7"/>
  <c r="E8" i="7"/>
  <c r="G7" i="7"/>
  <c r="J7" i="7" s="1"/>
  <c r="D74" i="2"/>
  <c r="D75" i="2"/>
  <c r="D29" i="2"/>
  <c r="D37" i="2"/>
  <c r="D46" i="2"/>
  <c r="D60" i="2"/>
  <c r="D62" i="2"/>
  <c r="D58" i="2"/>
  <c r="D36" i="2"/>
  <c r="D81" i="2"/>
  <c r="G16" i="2"/>
  <c r="G11" i="7" l="1"/>
  <c r="J8" i="7" s="1"/>
  <c r="I94" i="7"/>
  <c r="G74" i="7"/>
  <c r="J74" i="7" s="1"/>
  <c r="G71" i="7"/>
  <c r="G49" i="7"/>
  <c r="J49" i="7" s="1"/>
  <c r="G40" i="7"/>
  <c r="J40" i="7" s="1"/>
  <c r="G31" i="7"/>
  <c r="J31" i="7" s="1"/>
  <c r="G22" i="7"/>
  <c r="J22" i="7" s="1"/>
  <c r="E59" i="7"/>
  <c r="E94" i="7" s="1"/>
  <c r="C94" i="7"/>
  <c r="I91" i="6"/>
  <c r="G91" i="6"/>
  <c r="E91" i="6"/>
  <c r="C91" i="6"/>
  <c r="J90" i="6"/>
  <c r="G90" i="6"/>
  <c r="I87" i="6"/>
  <c r="E87" i="6"/>
  <c r="C87" i="6"/>
  <c r="G86" i="6"/>
  <c r="J86" i="6" s="1"/>
  <c r="I83" i="6"/>
  <c r="C83" i="6"/>
  <c r="G82" i="6"/>
  <c r="G81" i="6"/>
  <c r="G80" i="6"/>
  <c r="G79" i="6"/>
  <c r="G78" i="6"/>
  <c r="G77" i="6"/>
  <c r="G76" i="6"/>
  <c r="G75" i="6"/>
  <c r="E74" i="6"/>
  <c r="E83" i="6" s="1"/>
  <c r="I71" i="6"/>
  <c r="C71" i="6"/>
  <c r="G70" i="6"/>
  <c r="G69" i="6"/>
  <c r="G68" i="6"/>
  <c r="G67" i="6"/>
  <c r="G66" i="6"/>
  <c r="G65" i="6"/>
  <c r="G64" i="6"/>
  <c r="G63" i="6"/>
  <c r="G62" i="6"/>
  <c r="J62" i="6" s="1"/>
  <c r="E62" i="6"/>
  <c r="E71" i="6" s="1"/>
  <c r="I59" i="6"/>
  <c r="C59" i="6"/>
  <c r="G57" i="6"/>
  <c r="G56" i="6"/>
  <c r="G55" i="6"/>
  <c r="G54" i="6"/>
  <c r="G53" i="6"/>
  <c r="G52" i="6"/>
  <c r="G51" i="6"/>
  <c r="G50" i="6"/>
  <c r="G49" i="6" s="1"/>
  <c r="J49" i="6" s="1"/>
  <c r="E49" i="6"/>
  <c r="G48" i="6"/>
  <c r="G47" i="6"/>
  <c r="G46" i="6"/>
  <c r="G45" i="6"/>
  <c r="G44" i="6"/>
  <c r="G43" i="6"/>
  <c r="G42" i="6"/>
  <c r="G41" i="6"/>
  <c r="G40" i="6" s="1"/>
  <c r="J40" i="6" s="1"/>
  <c r="E40" i="6"/>
  <c r="G39" i="6"/>
  <c r="G38" i="6"/>
  <c r="G37" i="6"/>
  <c r="G36" i="6"/>
  <c r="G35" i="6"/>
  <c r="G34" i="6"/>
  <c r="G33" i="6"/>
  <c r="G32" i="6"/>
  <c r="G31" i="6"/>
  <c r="J31" i="6" s="1"/>
  <c r="E31" i="6"/>
  <c r="G30" i="6"/>
  <c r="G29" i="6"/>
  <c r="G28" i="6"/>
  <c r="G27" i="6"/>
  <c r="G26" i="6"/>
  <c r="G25" i="6"/>
  <c r="G24" i="6"/>
  <c r="G23" i="6"/>
  <c r="E22" i="6"/>
  <c r="G21" i="6"/>
  <c r="J21" i="6" s="1"/>
  <c r="J20" i="6"/>
  <c r="G20" i="6"/>
  <c r="G19" i="6"/>
  <c r="G18" i="6"/>
  <c r="G17" i="6"/>
  <c r="G16" i="6"/>
  <c r="G15" i="6"/>
  <c r="G14" i="6"/>
  <c r="G13" i="6"/>
  <c r="G12" i="6"/>
  <c r="G11" i="6" s="1"/>
  <c r="E11" i="6"/>
  <c r="G9" i="6"/>
  <c r="G8" i="6"/>
  <c r="E8" i="6"/>
  <c r="J7" i="6"/>
  <c r="G7" i="6"/>
  <c r="D48" i="2"/>
  <c r="F35" i="2"/>
  <c r="F20" i="2"/>
  <c r="K20" i="2"/>
  <c r="J20" i="2" s="1"/>
  <c r="J8" i="5"/>
  <c r="E11" i="5"/>
  <c r="G76" i="5"/>
  <c r="G77" i="5"/>
  <c r="G78" i="5"/>
  <c r="G79" i="5"/>
  <c r="G80" i="5"/>
  <c r="G81" i="5"/>
  <c r="G82" i="5"/>
  <c r="G75" i="5"/>
  <c r="G74" i="5" s="1"/>
  <c r="G62" i="5"/>
  <c r="G64" i="5"/>
  <c r="G65" i="5"/>
  <c r="G66" i="5"/>
  <c r="G67" i="5"/>
  <c r="G68" i="5"/>
  <c r="G69" i="5"/>
  <c r="G70" i="5"/>
  <c r="G63" i="5"/>
  <c r="G51" i="5"/>
  <c r="G52" i="5"/>
  <c r="G53" i="5"/>
  <c r="G54" i="5"/>
  <c r="G55" i="5"/>
  <c r="G56" i="5"/>
  <c r="G57" i="5"/>
  <c r="G50" i="5"/>
  <c r="G42" i="5"/>
  <c r="G43" i="5"/>
  <c r="G44" i="5"/>
  <c r="G45" i="5"/>
  <c r="G46" i="5"/>
  <c r="G47" i="5"/>
  <c r="G48" i="5"/>
  <c r="G41" i="5"/>
  <c r="G31" i="5"/>
  <c r="G33" i="5"/>
  <c r="G34" i="5"/>
  <c r="G35" i="5"/>
  <c r="G36" i="5"/>
  <c r="G37" i="5"/>
  <c r="G38" i="5"/>
  <c r="G39" i="5"/>
  <c r="G32" i="5"/>
  <c r="G24" i="5"/>
  <c r="G25" i="5"/>
  <c r="G26" i="5"/>
  <c r="G27" i="5"/>
  <c r="G28" i="5"/>
  <c r="G29" i="5"/>
  <c r="G30" i="5"/>
  <c r="G23" i="5"/>
  <c r="G19" i="5"/>
  <c r="G13" i="5"/>
  <c r="G14" i="5"/>
  <c r="G15" i="5"/>
  <c r="G16" i="5"/>
  <c r="G17" i="5"/>
  <c r="G18" i="5"/>
  <c r="G12" i="5"/>
  <c r="G11" i="5" s="1"/>
  <c r="G9" i="5"/>
  <c r="G8" i="5" s="1"/>
  <c r="E22" i="5"/>
  <c r="E31" i="5"/>
  <c r="E40" i="5"/>
  <c r="E49" i="5"/>
  <c r="I59" i="5"/>
  <c r="E74" i="5"/>
  <c r="E83" i="5" s="1"/>
  <c r="E62" i="5"/>
  <c r="E8" i="5"/>
  <c r="C59" i="5"/>
  <c r="C71" i="5"/>
  <c r="I91" i="5"/>
  <c r="E91" i="5"/>
  <c r="C91" i="5"/>
  <c r="G90" i="5"/>
  <c r="I87" i="5"/>
  <c r="E87" i="5"/>
  <c r="C87" i="5"/>
  <c r="G86" i="5"/>
  <c r="I83" i="5"/>
  <c r="C83" i="5"/>
  <c r="I71" i="5"/>
  <c r="G21" i="5"/>
  <c r="J21" i="5" s="1"/>
  <c r="G20" i="5"/>
  <c r="J20" i="5" s="1"/>
  <c r="G7" i="5"/>
  <c r="J7" i="5" s="1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G83" i="7" l="1"/>
  <c r="G59" i="7"/>
  <c r="I94" i="6"/>
  <c r="C94" i="6"/>
  <c r="G74" i="6"/>
  <c r="J74" i="6" s="1"/>
  <c r="G22" i="6"/>
  <c r="J22" i="6" s="1"/>
  <c r="E59" i="6"/>
  <c r="E94" i="6" s="1"/>
  <c r="G59" i="6"/>
  <c r="J8" i="6"/>
  <c r="G87" i="6"/>
  <c r="G71" i="6"/>
  <c r="X20" i="2"/>
  <c r="I94" i="5"/>
  <c r="G49" i="5"/>
  <c r="G22" i="5"/>
  <c r="G40" i="5"/>
  <c r="G59" i="5" s="1"/>
  <c r="E59" i="5"/>
  <c r="C94" i="5"/>
  <c r="J49" i="5"/>
  <c r="J40" i="5"/>
  <c r="E71" i="5"/>
  <c r="J31" i="5"/>
  <c r="J90" i="5"/>
  <c r="G91" i="5"/>
  <c r="J86" i="5"/>
  <c r="G87" i="5"/>
  <c r="J22" i="5"/>
  <c r="G71" i="5"/>
  <c r="J62" i="5"/>
  <c r="I8" i="4"/>
  <c r="I32" i="4"/>
  <c r="I28" i="4"/>
  <c r="F22" i="4"/>
  <c r="I24" i="4"/>
  <c r="F18" i="4"/>
  <c r="I9" i="4"/>
  <c r="D91" i="2"/>
  <c r="F21" i="3"/>
  <c r="I21" i="3" s="1"/>
  <c r="F12" i="3"/>
  <c r="I12" i="3" s="1"/>
  <c r="F14" i="3"/>
  <c r="I14" i="3" s="1"/>
  <c r="D18" i="3"/>
  <c r="F16" i="3"/>
  <c r="I16" i="3" s="1"/>
  <c r="C18" i="3"/>
  <c r="K90" i="2"/>
  <c r="F90" i="2"/>
  <c r="C91" i="2"/>
  <c r="K75" i="2"/>
  <c r="J75" i="2"/>
  <c r="F75" i="2"/>
  <c r="K71" i="2"/>
  <c r="J71" i="2"/>
  <c r="F71" i="2"/>
  <c r="K57" i="2"/>
  <c r="J57" i="2"/>
  <c r="F57" i="2"/>
  <c r="K29" i="2"/>
  <c r="F29" i="2"/>
  <c r="K27" i="2"/>
  <c r="J27" i="2"/>
  <c r="F27" i="2"/>
  <c r="W94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9" i="2"/>
  <c r="K91" i="2"/>
  <c r="K87" i="2"/>
  <c r="K85" i="2"/>
  <c r="G85" i="2" s="1"/>
  <c r="K82" i="2"/>
  <c r="K83" i="2"/>
  <c r="K81" i="2"/>
  <c r="K79" i="2"/>
  <c r="K78" i="2"/>
  <c r="G78" i="2" s="1"/>
  <c r="K76" i="2"/>
  <c r="G76" i="2" s="1"/>
  <c r="K74" i="2"/>
  <c r="K69" i="2"/>
  <c r="K67" i="2"/>
  <c r="K66" i="2"/>
  <c r="K61" i="2"/>
  <c r="K62" i="2"/>
  <c r="K63" i="2"/>
  <c r="K64" i="2"/>
  <c r="K60" i="2"/>
  <c r="K50" i="2"/>
  <c r="K51" i="2"/>
  <c r="K52" i="2"/>
  <c r="K53" i="2"/>
  <c r="K54" i="2"/>
  <c r="K55" i="2"/>
  <c r="K56" i="2"/>
  <c r="K58" i="2"/>
  <c r="K48" i="2"/>
  <c r="K44" i="2"/>
  <c r="K45" i="2"/>
  <c r="K46" i="2"/>
  <c r="K43" i="2"/>
  <c r="K41" i="2"/>
  <c r="K40" i="2"/>
  <c r="K36" i="2"/>
  <c r="G36" i="2" s="1"/>
  <c r="K37" i="2"/>
  <c r="K38" i="2"/>
  <c r="K35" i="2"/>
  <c r="K33" i="2"/>
  <c r="K31" i="2"/>
  <c r="K14" i="2"/>
  <c r="K15" i="2"/>
  <c r="K16" i="2"/>
  <c r="K17" i="2"/>
  <c r="K18" i="2"/>
  <c r="K19" i="2"/>
  <c r="K21" i="2"/>
  <c r="K22" i="2"/>
  <c r="K23" i="2"/>
  <c r="K24" i="2"/>
  <c r="K25" i="2"/>
  <c r="K26" i="2"/>
  <c r="K13" i="2"/>
  <c r="L94" i="2"/>
  <c r="M94" i="2"/>
  <c r="N94" i="2"/>
  <c r="O94" i="2"/>
  <c r="P94" i="2"/>
  <c r="Q94" i="2"/>
  <c r="R94" i="2"/>
  <c r="S94" i="2"/>
  <c r="T94" i="2"/>
  <c r="U94" i="2"/>
  <c r="V94" i="2"/>
  <c r="J29" i="2" l="1"/>
  <c r="X29" i="2" s="1"/>
  <c r="G94" i="7"/>
  <c r="X90" i="2"/>
  <c r="G83" i="6"/>
  <c r="G94" i="6" s="1"/>
  <c r="J13" i="2"/>
  <c r="E94" i="5"/>
  <c r="G83" i="5"/>
  <c r="G94" i="5" s="1"/>
  <c r="J74" i="5"/>
  <c r="X57" i="2"/>
  <c r="X75" i="2"/>
  <c r="X71" i="2"/>
  <c r="X27" i="2"/>
  <c r="I8" i="3"/>
  <c r="F23" i="3"/>
  <c r="F34" i="3"/>
  <c r="F18" i="3"/>
  <c r="F26" i="3"/>
  <c r="I29" i="3"/>
  <c r="I9" i="3"/>
  <c r="F29" i="1" l="1"/>
  <c r="I94" i="2" l="1"/>
  <c r="H94" i="2"/>
  <c r="C94" i="2"/>
  <c r="M11" i="1" s="1"/>
  <c r="K94" i="2"/>
  <c r="M14" i="1" s="1"/>
  <c r="F89" i="2"/>
  <c r="X89" i="2" s="1"/>
  <c r="J87" i="2"/>
  <c r="F87" i="2"/>
  <c r="J85" i="2"/>
  <c r="F85" i="2"/>
  <c r="J83" i="2"/>
  <c r="F83" i="2"/>
  <c r="J82" i="2"/>
  <c r="F82" i="2"/>
  <c r="J81" i="2"/>
  <c r="F81" i="2"/>
  <c r="J79" i="2"/>
  <c r="F79" i="2"/>
  <c r="J78" i="2"/>
  <c r="F78" i="2"/>
  <c r="J76" i="2"/>
  <c r="F76" i="2"/>
  <c r="J74" i="2"/>
  <c r="F74" i="2"/>
  <c r="J69" i="2"/>
  <c r="F69" i="2"/>
  <c r="J67" i="2"/>
  <c r="F67" i="2"/>
  <c r="J66" i="2"/>
  <c r="F66" i="2"/>
  <c r="J64" i="2"/>
  <c r="F64" i="2"/>
  <c r="J63" i="2"/>
  <c r="F63" i="2"/>
  <c r="J62" i="2"/>
  <c r="F62" i="2"/>
  <c r="J61" i="2"/>
  <c r="F61" i="2"/>
  <c r="J60" i="2"/>
  <c r="F60" i="2"/>
  <c r="J58" i="2"/>
  <c r="F58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8" i="2"/>
  <c r="F48" i="2"/>
  <c r="J46" i="2"/>
  <c r="F46" i="2"/>
  <c r="J45" i="2"/>
  <c r="F45" i="2"/>
  <c r="J44" i="2"/>
  <c r="F44" i="2"/>
  <c r="J43" i="2"/>
  <c r="F43" i="2"/>
  <c r="J41" i="2"/>
  <c r="F41" i="2"/>
  <c r="J40" i="2"/>
  <c r="F40" i="2"/>
  <c r="J38" i="2"/>
  <c r="F38" i="2"/>
  <c r="J37" i="2"/>
  <c r="F37" i="2"/>
  <c r="J36" i="2"/>
  <c r="F36" i="2"/>
  <c r="J35" i="2"/>
  <c r="J33" i="2"/>
  <c r="F33" i="2"/>
  <c r="J31" i="2"/>
  <c r="F31" i="2"/>
  <c r="J26" i="2"/>
  <c r="F26" i="2"/>
  <c r="F25" i="2"/>
  <c r="J25" i="2" s="1"/>
  <c r="J24" i="2"/>
  <c r="F24" i="2"/>
  <c r="J23" i="2"/>
  <c r="F23" i="2"/>
  <c r="F22" i="2"/>
  <c r="G22" i="2" s="1"/>
  <c r="J22" i="2" s="1"/>
  <c r="J21" i="2"/>
  <c r="F21" i="2"/>
  <c r="J19" i="2"/>
  <c r="F19" i="2"/>
  <c r="F18" i="2"/>
  <c r="G18" i="2" s="1"/>
  <c r="J18" i="2" s="1"/>
  <c r="F17" i="2"/>
  <c r="G17" i="2" s="1"/>
  <c r="J16" i="2"/>
  <c r="F16" i="2"/>
  <c r="J15" i="2"/>
  <c r="F15" i="2"/>
  <c r="J14" i="2"/>
  <c r="F14" i="2"/>
  <c r="F13" i="2"/>
  <c r="E29" i="1"/>
  <c r="F31" i="1" s="1"/>
  <c r="C5" i="1"/>
  <c r="J17" i="2" l="1"/>
  <c r="G94" i="2"/>
  <c r="F91" i="2"/>
  <c r="F94" i="2" s="1"/>
  <c r="X14" i="2"/>
  <c r="X21" i="2"/>
  <c r="X15" i="2"/>
  <c r="X22" i="2"/>
  <c r="X24" i="2"/>
  <c r="X31" i="2"/>
  <c r="X37" i="2"/>
  <c r="X52" i="2"/>
  <c r="X60" i="2"/>
  <c r="X64" i="2"/>
  <c r="X78" i="2"/>
  <c r="X87" i="2"/>
  <c r="X19" i="2"/>
  <c r="X26" i="2"/>
  <c r="X33" i="2"/>
  <c r="X36" i="2"/>
  <c r="X40" i="2"/>
  <c r="X46" i="2"/>
  <c r="X54" i="2"/>
  <c r="X61" i="2"/>
  <c r="X67" i="2"/>
  <c r="X81" i="2"/>
  <c r="X16" i="2"/>
  <c r="X23" i="2"/>
  <c r="X35" i="2"/>
  <c r="X44" i="2"/>
  <c r="X51" i="2"/>
  <c r="X58" i="2"/>
  <c r="X63" i="2"/>
  <c r="X76" i="2"/>
  <c r="X85" i="2"/>
  <c r="D94" i="2"/>
  <c r="X18" i="2"/>
  <c r="X25" i="2"/>
  <c r="X38" i="2"/>
  <c r="X45" i="2"/>
  <c r="X53" i="2"/>
  <c r="X66" i="2"/>
  <c r="X79" i="2"/>
  <c r="X41" i="2"/>
  <c r="X48" i="2"/>
  <c r="X55" i="2"/>
  <c r="X62" i="2"/>
  <c r="X69" i="2"/>
  <c r="X82" i="2"/>
  <c r="X43" i="2"/>
  <c r="X50" i="2"/>
  <c r="X56" i="2"/>
  <c r="X74" i="2"/>
  <c r="X83" i="2"/>
  <c r="X13" i="2"/>
  <c r="J91" i="2" l="1"/>
  <c r="X17" i="2"/>
  <c r="M12" i="1"/>
  <c r="M13" i="1" s="1"/>
  <c r="X91" i="2" l="1"/>
  <c r="X94" i="2" s="1"/>
  <c r="J94" i="2"/>
  <c r="M16" i="1" s="1"/>
  <c r="M18" i="1" s="1"/>
</calcChain>
</file>

<file path=xl/sharedStrings.xml><?xml version="1.0" encoding="utf-8"?>
<sst xmlns="http://schemas.openxmlformats.org/spreadsheetml/2006/main" count="681" uniqueCount="319">
  <si>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</si>
  <si>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</si>
  <si>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</si>
  <si>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</si>
  <si>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</si>
  <si>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</si>
  <si>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</si>
  <si>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</si>
  <si>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</si>
  <si>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</si>
  <si>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</si>
  <si>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</si>
  <si>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</si>
  <si>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</si>
  <si>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</si>
  <si>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BALANCE TO FINISH, INCLUDING FEE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</si>
  <si>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</si>
  <si>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</si>
  <si>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</si>
  <si>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</si>
  <si>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</si>
  <si>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</si>
  <si>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</si>
  <si>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</si>
  <si>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</si>
  <si>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</si>
  <si>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</si>
  <si>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</si>
  <si>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</si>
  <si>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</si>
  <si>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</si>
  <si>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</si>
  <si>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</si>
  <si>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</si>
  <si>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</si>
  <si>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</si>
  <si>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</si>
  <si>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</si>
  <si>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</si>
  <si>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</si>
  <si>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</si>
  <si>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</si>
  <si>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</si>
  <si>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</si>
  <si>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</si>
  <si>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</si>
  <si>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</si>
  <si>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</si>
  <si>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</si>
  <si>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</si>
  <si>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</si>
  <si>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</si>
  <si>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</si>
  <si>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</si>
  <si>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</si>
  <si>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</si>
  <si>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</si>
  <si>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</si>
  <si>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</si>
  <si>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</si>
  <si>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</si>
  <si>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</si>
  <si>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</si>
  <si>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</si>
  <si>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</si>
  <si>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</si>
  <si>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</si>
  <si>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</si>
  <si>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</si>
  <si>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</si>
  <si>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</si>
  <si>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</si>
  <si>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</si>
  <si>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</si>
  <si>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</si>
  <si>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</si>
  <si>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</si>
  <si>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</si>
  <si>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</si>
  <si>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</si>
  <si>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</si>
  <si>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</si>
  <si>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</si>
  <si>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</si>
  <si>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</si>
  <si>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</si>
  <si>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</si>
  <si>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</si>
  <si>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</si>
  <si>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</si>
  <si>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</si>
  <si>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</si>
  <si>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</si>
  <si>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</si>
  <si>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</si>
  <si>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</si>
  <si>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</si>
  <si>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</si>
  <si>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</si>
  <si>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</si>
  <si>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</si>
  <si>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</si>
  <si>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</si>
  <si>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</si>
  <si>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</si>
  <si>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</si>
  <si>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</si>
  <si>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</si>
  <si>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</si>
  <si>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</si>
  <si>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</si>
  <si>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</si>
  <si>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</si>
  <si>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</si>
  <si>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</si>
  <si>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</si>
  <si>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</si>
  <si>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</si>
  <si>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</si>
  <si>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</si>
  <si>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</si>
  <si>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</si>
  <si>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</si>
  <si>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</si>
  <si>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</si>
  <si>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</si>
  <si>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</si>
  <si>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</si>
  <si>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</si>
  <si>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</si>
  <si>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</si>
  <si>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</si>
  <si>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</si>
  <si>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</si>
  <si>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</si>
  <si>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</si>
  <si>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</si>
  <si>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</si>
  <si>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</si>
  <si>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</si>
  <si>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</si>
  <si>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</si>
  <si>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</si>
  <si>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</si>
  <si>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</si>
  <si>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</si>
  <si>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</si>
  <si>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</si>
  <si>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</si>
  <si>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</si>
  <si>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</si>
  <si>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</si>
  <si>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</si>
  <si>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</si>
  <si>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</si>
  <si>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</si>
  <si>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</si>
  <si>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</si>
  <si>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</si>
  <si>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</si>
  <si>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</si>
  <si>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</si>
  <si>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</si>
  <si>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</si>
  <si>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</si>
  <si>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</si>
  <si>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</si>
  <si>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</si>
  <si>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</si>
  <si>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</si>
  <si>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</si>
  <si>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</si>
  <si>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</si>
  <si>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</si>
  <si>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</si>
  <si>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</si>
  <si>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</si>
  <si>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</si>
  <si>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</si>
  <si>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</si>
  <si>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</si>
  <si>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</si>
  <si>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</si>
  <si>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</si>
  <si>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</si>
  <si>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</si>
  <si>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</si>
  <si>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</si>
  <si>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</si>
  <si>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</si>
  <si>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</si>
  <si>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</si>
  <si>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</si>
  <si>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</si>
  <si>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</si>
  <si>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</si>
  <si>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</si>
  <si>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</si>
  <si>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</si>
  <si>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</si>
  <si>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</si>
  <si>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</si>
  <si>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</si>
  <si>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</si>
  <si>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</si>
  <si>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</si>
  <si>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</si>
  <si>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</si>
  <si>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</si>
  <si>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</si>
  <si>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</si>
  <si>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</si>
  <si>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</si>
  <si>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</si>
  <si>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</si>
  <si>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</si>
  <si>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</si>
  <si>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</si>
  <si>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</si>
  <si>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</si>
  <si>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</si>
  <si>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</si>
  <si>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</si>
  <si>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</si>
  <si>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</si>
  <si>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</si>
  <si>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</si>
  <si>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</si>
  <si>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</si>
  <si>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</si>
  <si>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</si>
  <si>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</si>
  <si>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</si>
  <si>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</si>
  <si>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</si>
  <si>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</si>
  <si>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</si>
  <si>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</si>
  <si>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</si>
  <si>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</si>
  <si>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</si>
  <si>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</si>
  <si>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</si>
  <si>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</si>
  <si>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</si>
  <si>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</si>
  <si>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</si>
  <si>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</si>
  <si>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</si>
  <si>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</si>
  <si>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CO1 $1360</t>
  </si>
  <si>
    <t>CO1 $150</t>
  </si>
  <si>
    <t>CO1 $64</t>
  </si>
  <si>
    <t>CO1 $123</t>
  </si>
  <si>
    <t>CO1 $60</t>
  </si>
  <si>
    <t>CO1 $810</t>
  </si>
  <si>
    <t>CO1 $963</t>
  </si>
  <si>
    <t>CO1 $264</t>
  </si>
  <si>
    <t>CO1 $75</t>
  </si>
  <si>
    <t>CO1 $300</t>
  </si>
  <si>
    <t>CO1 $2200</t>
  </si>
  <si>
    <t>CO1 $6560</t>
  </si>
  <si>
    <t>CO1 $3364</t>
  </si>
  <si>
    <t>CO1 $100</t>
  </si>
  <si>
    <t>CO1 $2889</t>
  </si>
  <si>
    <t>CO1 $2250</t>
  </si>
  <si>
    <t>Mockups</t>
  </si>
  <si>
    <t xml:space="preserve">   01-171</t>
  </si>
  <si>
    <t>06-0000</t>
  </si>
  <si>
    <t>Remove Primary Bed fireplace/facings and modify framing of this wall; paint frames &amp; doors of Hearth &amp; Great Room fireplaces in lieu of brand new frames &amp; doors</t>
  </si>
  <si>
    <t>CO2 -$11555</t>
  </si>
  <si>
    <t>CARPENTRY</t>
  </si>
  <si>
    <t>Employee</t>
  </si>
  <si>
    <t>Ron Milhan</t>
  </si>
  <si>
    <t>Austin Stroh</t>
  </si>
  <si>
    <t>Chris Magner</t>
  </si>
  <si>
    <t>Ron Townsend</t>
  </si>
  <si>
    <t>Braden Dall</t>
  </si>
  <si>
    <t>Caleb Fossenbarger</t>
  </si>
  <si>
    <t>Nathan Milhan</t>
  </si>
  <si>
    <t>TJ Ingram</t>
  </si>
  <si>
    <t>Jo Nutter</t>
  </si>
  <si>
    <t>Max Fuerstenau</t>
  </si>
  <si>
    <t>moved .92 from 18-030 to 01-560</t>
  </si>
  <si>
    <t>01-454</t>
  </si>
  <si>
    <t>accrual Klassen total (3000+6000)</t>
  </si>
  <si>
    <t>Upgrade Primary Suite doors to 90" in lieu of 84"</t>
  </si>
  <si>
    <t>Add trim mouldings/crown, lower level bedroom ceiling textures &amp; framing down ceiling in Bed 5</t>
  </si>
  <si>
    <t>Crestron Lighting Control system</t>
  </si>
  <si>
    <t>CO3 $660</t>
  </si>
  <si>
    <t>CO1 $780 / CO3 $3030</t>
  </si>
  <si>
    <t>CO4 $1806</t>
  </si>
  <si>
    <t>Water Treatment - new soft water unit, whole house filtration system</t>
  </si>
  <si>
    <t>CO1 $4963</t>
  </si>
  <si>
    <t>change order #3 - $10,000 even when added up together with fee already included, but $10,161 when added up then add fee. $160 is the difference from $51,240 on front sheet to $51,400</t>
  </si>
  <si>
    <t>Ron Milhan - 197</t>
  </si>
  <si>
    <t>Ron Townsend - 178</t>
  </si>
  <si>
    <t>Max Fuerstenau - 204</t>
  </si>
  <si>
    <t>Austin Stroh - 242</t>
  </si>
  <si>
    <t>Braden Dall - 239</t>
  </si>
  <si>
    <t>Caleb Fossenbarger - 235</t>
  </si>
  <si>
    <t>Nathan Milhan - 233</t>
  </si>
  <si>
    <t xml:space="preserve">TJ Ingram </t>
  </si>
  <si>
    <t>Jo Nutter - 188</t>
  </si>
  <si>
    <t>Hearth Room Cabinetry/Fireplace Facing</t>
  </si>
  <si>
    <t>CO6 $19298.33</t>
  </si>
  <si>
    <t>CO1 $940 / CO2 $5280</t>
  </si>
  <si>
    <t>CO1 $5048 / CO7 $9500</t>
  </si>
  <si>
    <t>CO1 $3000 / CO3 $1320 /  CO4 $115 / CO7 $2500</t>
  </si>
  <si>
    <t>CO2 -$2603 / CO7 $2800</t>
  </si>
  <si>
    <t>CO1 $1479 / CO4 $115 / CO7 $163</t>
  </si>
  <si>
    <t>CO1 $3616 / CO7 $1010</t>
  </si>
  <si>
    <t>CO3 $3601 / CO7 $596</t>
  </si>
  <si>
    <t>CO1 $730 / CO7 $480</t>
  </si>
  <si>
    <t>Water Treatment - add RO system to Kitchen ($1951 Clean Water Guys, $767 Plumber)</t>
  </si>
  <si>
    <t>CO5 $3932.25 / CO8 $1653.15</t>
  </si>
  <si>
    <t>CO1 $1050 / CO8 $650</t>
  </si>
  <si>
    <t>CO1 $7764.90 / CO2 -$2548.44 / CO3 $1389 /  CO4 $366.48 / CO6 $4424 / CO7 $3068.82 CO8 $414.93</t>
  </si>
  <si>
    <t>Custom accrual per email 7/20/2026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</si>
</sst>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7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  <xf numFmtId="44" fontId="0" fillId="4" borderId="15" xfId="2" applyFont="1" applyFill="1" applyBorder="1"/>
    <xf numFmtId="0" fontId="20" fillId="0" borderId="6" xfId="0" applyFont="1" applyBorder="1" applyAlignment="1">
      <alignment horizontal="left" vertical="top" readingOrder="1"/>
    </xf>
    <xf numFmtId="0" fontId="20" fillId="0" borderId="7" xfId="0" applyFont="1" applyBorder="1" applyAlignment="1">
      <alignment horizontal="left" vertical="top" readingOrder="1"/>
    </xf>
    <xf numFmtId="0" fontId="0" fillId="0" borderId="13" xfId="0" applyBorder="1"/>
    <xf numFmtId="44" fontId="23" fillId="0" borderId="13" xfId="2" applyFont="1" applyFill="1" applyBorder="1"/>
    <xf numFmtId="44" fontId="0" fillId="0" borderId="13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9" fillId="0" borderId="6" xfId="0" applyFont="1" applyBorder="1" applyAlignment="1">
      <alignment horizontal="left" vertical="top" readingOrder="1"/>
    </xf>
    <xf numFmtId="0" fontId="19" fillId="0" borderId="7" xfId="0" applyFont="1" applyBorder="1" applyAlignment="1">
      <alignment horizontal="left" vertical="top" readingOrder="1"/>
    </xf>
    <xf numFmtId="0" fontId="16" fillId="0" borderId="13" xfId="0" applyFont="1" applyBorder="1"/>
    <xf numFmtId="44" fontId="16" fillId="0" borderId="13" xfId="2" applyFont="1" applyBorder="1"/>
    <xf numFmtId="0" fontId="16" fillId="0" borderId="6" xfId="0" applyFont="1" applyBorder="1"/>
    <xf numFmtId="44" fontId="16" fillId="0" borderId="7" xfId="2" applyFont="1" applyBorder="1"/>
    <xf numFmtId="44" fontId="16" fillId="0" borderId="6" xfId="0" applyNumberFormat="1" applyFont="1" applyBorder="1"/>
    <xf numFmtId="0" fontId="19" fillId="0" borderId="7" xfId="0" applyFont="1" applyBorder="1" applyAlignment="1">
      <alignment vertical="top" readingOrder="1"/>
    </xf>
    <xf numFmtId="44" fontId="17" fillId="0" borderId="13" xfId="2" applyFont="1" applyBorder="1"/>
    <xf numFmtId="0" fontId="16" fillId="0" borderId="7" xfId="0" applyFont="1" applyBorder="1"/>
    <xf numFmtId="44" fontId="17" fillId="0" borderId="7" xfId="2" applyFont="1" applyBorder="1"/>
    <xf numFmtId="44" fontId="23" fillId="0" borderId="6" xfId="2" applyFont="1" applyBorder="1"/>
    <xf numFmtId="0" fontId="0" fillId="0" borderId="15" xfId="0" applyBorder="1" applyAlignment="1">
      <alignment horizontal="right"/>
    </xf>
    <xf numFmtId="44" fontId="11" fillId="0" borderId="0" xfId="2" applyFont="1" applyBorder="1" applyAlignment="1"/>
    <xf numFmtId="164" fontId="6" fillId="0" borderId="3" xfId="2" applyNumberFormat="1" applyFont="1" applyBorder="1" applyAlignment="1"/>
    <xf numFmtId="44" fontId="11" fillId="0" borderId="9" xfId="2" applyFont="1" applyBorder="1" applyAlignment="1">
      <alignment vertical="center"/>
    </xf>
    <xf numFmtId="44" fontId="11" fillId="0" borderId="9" xfId="2" applyFont="1" applyBorder="1"/>
    <xf numFmtId="44" fontId="11" fillId="0" borderId="0" xfId="2" applyFont="1" applyAlignment="1">
      <alignment vertical="center"/>
    </xf>
    <xf numFmtId="44" fontId="11" fillId="0" borderId="9" xfId="2" applyFont="1" applyBorder="1" applyAlignment="1"/>
    <xf numFmtId="0" fontId="12" fillId="0" borderId="0" xfId="0" applyFont="1" applyAlignment="1">
      <alignment vertical="center"/>
    </xf>
    <xf numFmtId="14" fontId="5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44" fontId="16" fillId="0" borderId="27" xfId="0" applyNumberFormat="1" applyFont="1" applyBorder="1" applyAlignment="1">
      <alignment horizontal="center" vertical="center"/>
    </xf>
    <xf numFmtId="44" fontId="16" fillId="0" borderId="8" xfId="0" applyNumberFormat="1" applyFont="1" applyBorder="1" applyAlignment="1">
      <alignment horizontal="center" vertical="center"/>
    </xf>
    <xf numFmtId="44" fontId="16" fillId="0" borderId="11" xfId="0" applyNumberFormat="1" applyFon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770495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11</xdr:col>
      <xdr:colOff>561975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8"/>
  <sheetViews>
    <sheetView tabSelected="1" view="pageLayout" zoomScaleNormal="100" workbookViewId="0">
      <selection activeCell="D48" sqref="D48"/>
    </sheetView>
  </sheetViews>
  <sheetFormatPr defaultRowHeight="14.25" x14ac:dyDescent="0.2"/>
  <cols>
    <col min="1" max="1" width="13.28515625" style="35" customWidth="1"/>
    <col min="2" max="2" width="9.140625" style="35"/>
    <col min="3" max="3" width="7.7109375" style="35" customWidth="1"/>
    <col min="4" max="4" width="28.7109375" style="35" customWidth="1"/>
    <col min="5" max="5" width="18.42578125" style="35" customWidth="1"/>
    <col min="6" max="6" width="19.5703125" style="35" customWidth="1"/>
    <col min="7" max="7" width="5.5703125" style="35" customWidth="1"/>
    <col min="8" max="8" width="4.7109375" style="35" customWidth="1"/>
    <col min="9" max="9" width="6.42578125" style="35" customWidth="1"/>
    <col min="10" max="10" width="11.85546875" style="35" customWidth="1"/>
    <col min="11" max="11" width="10.28515625" style="35" customWidth="1"/>
    <col min="12" max="12" width="12.28515625" style="35" customWidth="1"/>
    <col min="13" max="13" width="14.140625" style="35" customWidth="1"/>
    <col min="14" max="14" width="11.42578125" style="35" customWidth="1"/>
    <col min="15" max="16384" width="9.140625" style="35"/>
  </cols>
  <sheetData>
    <row r="1" spans="1:13" ht="27" customHeight="1" thickBot="1" x14ac:dyDescent="0.3">
      <c r="A1" s="1" t="s">
        <v>4</v>
      </c>
      <c r="B1" s="34"/>
      <c r="C1" s="34"/>
      <c r="D1" s="34"/>
      <c r="G1" s="34"/>
      <c r="H1" s="34"/>
      <c r="I1" s="3"/>
      <c r="J1" s="34"/>
      <c r="K1" s="34"/>
      <c r="L1" s="3"/>
      <c r="M1" s="34"/>
    </row>
    <row r="2" spans="1:13" ht="15" customHeight="1" x14ac:dyDescent="0.25">
      <c r="A2" s="49" t="s">
        <v>0</v>
      </c>
      <c r="B2" s="50"/>
      <c r="C2" s="56" t="s">
        <v>226</v>
      </c>
      <c r="D2" s="57"/>
      <c r="E2" s="57"/>
      <c r="F2" s="65"/>
      <c r="G2" s="58"/>
      <c r="H2" s="58"/>
      <c r="I2" s="58"/>
      <c r="J2" s="59" t="s">
        <v>172</v>
      </c>
      <c r="K2" s="60">
        <v>5</v>
      </c>
      <c r="L2" s="52"/>
      <c r="M2" s="52"/>
    </row>
    <row r="3" spans="1:13" ht="15" customHeight="1" x14ac:dyDescent="0.25">
      <c r="A3" s="49" t="s">
        <v>1</v>
      </c>
      <c r="B3" s="50"/>
      <c r="C3" s="61" t="s">
        <v>220</v>
      </c>
      <c r="D3" s="51"/>
      <c r="E3" s="51"/>
      <c r="F3" s="50"/>
      <c r="G3" s="62"/>
      <c r="H3" s="62"/>
      <c r="I3" s="62"/>
      <c r="J3" s="59" t="s">
        <v>18</v>
      </c>
      <c r="K3" s="63">
        <v>46195</v>
      </c>
      <c r="L3" s="52"/>
      <c r="M3" s="52"/>
    </row>
    <row r="4" spans="1:13" ht="15" x14ac:dyDescent="0.25">
      <c r="A4" s="49" t="s">
        <v>2</v>
      </c>
      <c r="B4" s="50"/>
      <c r="C4" s="51" t="s">
        <v>227</v>
      </c>
      <c r="D4" s="51"/>
      <c r="E4" s="51"/>
      <c r="F4" s="50"/>
      <c r="G4" s="52"/>
      <c r="H4" s="49"/>
      <c r="I4" s="49"/>
      <c r="J4" s="59" t="s">
        <v>175</v>
      </c>
      <c r="K4" s="91">
        <v>46201</v>
      </c>
      <c r="L4" s="52"/>
      <c r="M4" s="52"/>
    </row>
    <row r="5" spans="1:13" ht="15" thickBot="1" x14ac:dyDescent="0.25">
      <c r="A5" s="53" t="s">
        <v>3</v>
      </c>
      <c r="B5" s="54"/>
      <c r="C5" s="54" t="str">
        <f>+C2</f>
        <v>Phil &amp; Michelle Wood</v>
      </c>
      <c r="D5" s="54"/>
      <c r="E5" s="54"/>
      <c r="F5" s="54"/>
      <c r="G5" s="54"/>
      <c r="H5" s="53"/>
      <c r="I5" s="53"/>
      <c r="J5" s="53"/>
      <c r="K5" s="53"/>
      <c r="L5" s="55"/>
      <c r="M5" s="55"/>
    </row>
    <row r="6" spans="1:13" ht="6" customHeight="1" x14ac:dyDescent="0.2"/>
    <row r="7" spans="1:13" ht="15" customHeight="1" x14ac:dyDescent="0.2">
      <c r="A7" s="88" t="s">
        <v>5</v>
      </c>
      <c r="B7" s="89"/>
      <c r="C7" s="89"/>
      <c r="D7" s="89"/>
      <c r="E7" s="89"/>
      <c r="F7" s="90"/>
      <c r="I7" s="64"/>
      <c r="J7" s="64"/>
      <c r="K7" s="64"/>
      <c r="L7" s="64"/>
      <c r="M7" s="64"/>
    </row>
    <row r="8" spans="1:13" ht="5.25" customHeight="1" x14ac:dyDescent="0.2">
      <c r="A8" s="36"/>
      <c r="F8" s="39"/>
      <c r="H8" s="64"/>
      <c r="I8" s="64"/>
      <c r="J8" s="64"/>
      <c r="K8" s="64"/>
      <c r="L8" s="64"/>
      <c r="M8" s="64"/>
    </row>
    <row r="9" spans="1:13" ht="22.5" x14ac:dyDescent="0.2">
      <c r="A9" s="84"/>
      <c r="B9" s="85"/>
      <c r="C9" s="85"/>
      <c r="D9" s="85"/>
      <c r="E9" s="86" t="s">
        <v>173</v>
      </c>
      <c r="F9" s="87" t="s">
        <v>174</v>
      </c>
      <c r="H9" s="209" t="s">
        <v>6</v>
      </c>
      <c r="I9" s="209"/>
      <c r="J9" s="209"/>
      <c r="K9" s="209"/>
      <c r="L9" s="209"/>
      <c r="M9" s="209"/>
    </row>
    <row r="10" spans="1:13" x14ac:dyDescent="0.2">
      <c r="A10" s="76" t="s">
        <v>7</v>
      </c>
      <c r="B10" s="68" t="s">
        <v>8</v>
      </c>
      <c r="C10" s="69"/>
      <c r="D10" s="69"/>
      <c r="E10" s="70" t="s">
        <v>9</v>
      </c>
      <c r="F10" s="77" t="s">
        <v>9</v>
      </c>
    </row>
    <row r="11" spans="1:13" x14ac:dyDescent="0.2">
      <c r="A11" s="36">
        <v>1</v>
      </c>
      <c r="B11" s="75" t="s">
        <v>249</v>
      </c>
      <c r="E11" s="178">
        <v>50903</v>
      </c>
      <c r="F11" s="168"/>
      <c r="H11" s="35" t="s">
        <v>10</v>
      </c>
      <c r="M11" s="38">
        <f>B!C94</f>
        <v>1459923.14</v>
      </c>
    </row>
    <row r="12" spans="1:13" ht="60.75" customHeight="1" x14ac:dyDescent="0.2">
      <c r="A12" s="171">
        <v>2</v>
      </c>
      <c r="B12" s="210" t="s">
        <v>269</v>
      </c>
      <c r="C12" s="210"/>
      <c r="D12" s="210"/>
      <c r="E12" s="172">
        <v>-16706</v>
      </c>
      <c r="F12" s="173"/>
      <c r="H12" s="174" t="s">
        <v>11</v>
      </c>
      <c r="I12" s="174"/>
      <c r="J12" s="174"/>
      <c r="K12" s="174"/>
      <c r="L12" s="174"/>
      <c r="M12" s="175">
        <f>+F31</f>
        <v>103079</v>
      </c>
    </row>
    <row r="13" spans="1:13" ht="30" customHeight="1" x14ac:dyDescent="0.2">
      <c r="A13" s="171">
        <v>3</v>
      </c>
      <c r="B13" s="210" t="s">
        <v>287</v>
      </c>
      <c r="C13" s="210"/>
      <c r="D13" s="210"/>
      <c r="E13" s="172">
        <v>10000</v>
      </c>
      <c r="F13" s="203"/>
      <c r="H13" s="174" t="s">
        <v>12</v>
      </c>
      <c r="I13" s="174"/>
      <c r="J13" s="174"/>
      <c r="K13" s="174"/>
      <c r="L13" s="174"/>
      <c r="M13" s="175">
        <f>M12+M11</f>
        <v>1563002.14</v>
      </c>
    </row>
    <row r="14" spans="1:13" x14ac:dyDescent="0.2">
      <c r="A14" s="36">
        <v>4</v>
      </c>
      <c r="B14" s="75" t="s">
        <v>286</v>
      </c>
      <c r="E14" s="41">
        <v>2403</v>
      </c>
      <c r="F14" s="204"/>
      <c r="H14" s="35" t="s">
        <v>218</v>
      </c>
      <c r="M14" s="38">
        <f>B!K94</f>
        <v>175460</v>
      </c>
    </row>
    <row r="15" spans="1:13" s="174" customFormat="1" ht="33.75" customHeight="1" x14ac:dyDescent="0.25">
      <c r="A15" s="171">
        <v>5</v>
      </c>
      <c r="B15" s="211" t="s">
        <v>292</v>
      </c>
      <c r="C15" s="211"/>
      <c r="D15" s="211"/>
      <c r="E15" s="205">
        <v>4640</v>
      </c>
      <c r="F15" s="203"/>
    </row>
    <row r="16" spans="1:13" ht="15.75" x14ac:dyDescent="0.25">
      <c r="A16" s="36">
        <v>6</v>
      </c>
      <c r="B16" s="35" t="s">
        <v>288</v>
      </c>
      <c r="E16" s="201">
        <v>29003</v>
      </c>
      <c r="F16" s="206"/>
      <c r="H16" s="4" t="s">
        <v>14</v>
      </c>
      <c r="J16" s="4"/>
      <c r="K16" s="4"/>
      <c r="L16" s="4"/>
      <c r="M16" s="202">
        <f>+B!J94</f>
        <v>38508.670666666665</v>
      </c>
    </row>
    <row r="17" spans="1:13" ht="15.75" x14ac:dyDescent="0.25">
      <c r="A17" s="36">
        <v>7</v>
      </c>
      <c r="B17" s="35" t="s">
        <v>304</v>
      </c>
      <c r="E17" s="41">
        <v>20118</v>
      </c>
      <c r="F17" s="204"/>
      <c r="H17" s="4"/>
      <c r="J17" s="4"/>
      <c r="K17" s="4"/>
      <c r="L17" s="4"/>
      <c r="M17" s="48"/>
    </row>
    <row r="18" spans="1:13" s="174" customFormat="1" ht="29.25" customHeight="1" x14ac:dyDescent="0.25">
      <c r="A18" s="171">
        <v>8</v>
      </c>
      <c r="B18" s="211" t="s">
        <v>314</v>
      </c>
      <c r="C18" s="211"/>
      <c r="D18" s="211"/>
      <c r="E18" s="205">
        <v>2718</v>
      </c>
      <c r="F18" s="203"/>
      <c r="H18" s="207" t="s">
        <v>15</v>
      </c>
      <c r="M18" s="175">
        <f>+M13-M14-M16</f>
        <v>1349033.4693333332</v>
      </c>
    </row>
    <row r="19" spans="1:13" x14ac:dyDescent="0.2">
      <c r="A19" s="36">
        <v>9</v>
      </c>
      <c r="B19" s="75"/>
      <c r="E19" s="41"/>
      <c r="F19" s="168"/>
      <c r="H19" s="40"/>
      <c r="M19" s="41"/>
    </row>
    <row r="20" spans="1:13" x14ac:dyDescent="0.2">
      <c r="A20" s="36">
        <v>10</v>
      </c>
      <c r="B20" s="75"/>
      <c r="E20" s="41"/>
      <c r="F20" s="168"/>
      <c r="H20" s="40"/>
      <c r="M20" s="41"/>
    </row>
    <row r="21" spans="1:13" x14ac:dyDescent="0.2">
      <c r="A21" s="36">
        <v>11</v>
      </c>
      <c r="B21" s="75"/>
      <c r="E21" s="41"/>
      <c r="F21" s="168"/>
      <c r="H21" s="40"/>
      <c r="M21" s="41"/>
    </row>
    <row r="22" spans="1:13" x14ac:dyDescent="0.2">
      <c r="A22" s="36">
        <v>12</v>
      </c>
      <c r="B22" s="75"/>
      <c r="E22" s="41"/>
      <c r="F22" s="168"/>
      <c r="H22" s="40"/>
      <c r="M22" s="41"/>
    </row>
    <row r="23" spans="1:13" x14ac:dyDescent="0.2">
      <c r="A23" s="36">
        <v>13</v>
      </c>
      <c r="B23" s="75"/>
      <c r="E23" s="41"/>
      <c r="F23" s="168"/>
      <c r="H23" s="40"/>
      <c r="M23" s="41"/>
    </row>
    <row r="24" spans="1:13" x14ac:dyDescent="0.2">
      <c r="A24" s="36">
        <v>14</v>
      </c>
      <c r="B24" s="75"/>
      <c r="E24" s="41"/>
      <c r="F24" s="168"/>
      <c r="H24" s="40"/>
      <c r="M24" s="41"/>
    </row>
    <row r="25" spans="1:13" x14ac:dyDescent="0.2">
      <c r="A25" s="36">
        <v>15</v>
      </c>
      <c r="B25" s="75"/>
      <c r="E25" s="41"/>
      <c r="F25" s="168"/>
      <c r="H25" s="40"/>
      <c r="M25" s="41"/>
    </row>
    <row r="26" spans="1:13" x14ac:dyDescent="0.2">
      <c r="A26" s="36">
        <v>16</v>
      </c>
      <c r="B26" s="75"/>
      <c r="E26" s="41"/>
      <c r="F26" s="168"/>
      <c r="H26" s="40"/>
      <c r="M26" s="41"/>
    </row>
    <row r="27" spans="1:13" x14ac:dyDescent="0.2">
      <c r="A27" s="36">
        <v>17</v>
      </c>
      <c r="B27" s="75"/>
      <c r="E27" s="41"/>
      <c r="F27" s="168"/>
      <c r="H27" s="40"/>
      <c r="M27" s="41"/>
    </row>
    <row r="28" spans="1:13" x14ac:dyDescent="0.2">
      <c r="A28" s="42"/>
      <c r="B28" s="43"/>
      <c r="C28" s="43"/>
      <c r="D28" s="43"/>
      <c r="E28" s="43"/>
      <c r="F28" s="37"/>
      <c r="H28" s="40"/>
      <c r="M28" s="41"/>
    </row>
    <row r="29" spans="1:13" x14ac:dyDescent="0.2">
      <c r="A29" s="36"/>
      <c r="D29" s="45" t="s">
        <v>16</v>
      </c>
      <c r="E29" s="44">
        <f>SUM(E11:E28)</f>
        <v>103079</v>
      </c>
      <c r="F29" s="177">
        <f>SUM(F11:F27)</f>
        <v>0</v>
      </c>
    </row>
    <row r="30" spans="1:13" x14ac:dyDescent="0.2">
      <c r="A30" s="78"/>
      <c r="B30" s="74"/>
      <c r="C30" s="74"/>
      <c r="D30" s="74"/>
      <c r="E30" s="74"/>
      <c r="F30" s="79"/>
    </row>
    <row r="31" spans="1:13" x14ac:dyDescent="0.2">
      <c r="A31" s="80"/>
      <c r="B31" s="81"/>
      <c r="C31" s="82"/>
      <c r="D31" s="82"/>
      <c r="E31" s="83" t="s">
        <v>11</v>
      </c>
      <c r="F31" s="176">
        <f>SUM(E29+F29)</f>
        <v>103079</v>
      </c>
    </row>
    <row r="32" spans="1:13" x14ac:dyDescent="0.2">
      <c r="A32" s="71"/>
      <c r="B32" s="71"/>
      <c r="C32" s="40"/>
      <c r="D32" s="40"/>
    </row>
    <row r="33" spans="2:14" x14ac:dyDescent="0.2">
      <c r="B33" s="72"/>
      <c r="E33" s="66"/>
      <c r="F33" s="66"/>
    </row>
    <row r="34" spans="2:14" x14ac:dyDescent="0.2">
      <c r="B34" s="72"/>
      <c r="E34" s="66"/>
      <c r="F34" s="66"/>
      <c r="H34" s="45"/>
      <c r="I34" s="46"/>
      <c r="L34" s="47"/>
    </row>
    <row r="35" spans="2:14" x14ac:dyDescent="0.2">
      <c r="B35" s="72"/>
      <c r="E35" s="66"/>
      <c r="F35" s="66"/>
    </row>
    <row r="36" spans="2:14" x14ac:dyDescent="0.2">
      <c r="I36" s="7"/>
      <c r="M36" s="47"/>
      <c r="N36" s="44"/>
    </row>
    <row r="37" spans="2:14" x14ac:dyDescent="0.2">
      <c r="B37" s="73"/>
      <c r="E37" s="41"/>
      <c r="F37" s="41"/>
      <c r="M37" s="44"/>
    </row>
    <row r="38" spans="2:14" x14ac:dyDescent="0.2">
      <c r="F38" s="67"/>
      <c r="M38" s="44"/>
    </row>
    <row r="39" spans="2:14" x14ac:dyDescent="0.2">
      <c r="H39" s="40"/>
      <c r="M39" s="47"/>
    </row>
    <row r="40" spans="2:14" x14ac:dyDescent="0.2">
      <c r="H40" s="40"/>
      <c r="M40" s="44"/>
    </row>
    <row r="41" spans="2:14" ht="6.6" customHeight="1" x14ac:dyDescent="0.2"/>
    <row r="51" spans="1:1" x14ac:dyDescent="0.2">
      <c r="A51" s="5"/>
    </row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8" spans="1:1" x14ac:dyDescent="0.2">
      <c r="A58" s="8"/>
    </row>
  </sheetData>
  <mergeCells count="5">
    <mergeCell ref="H9:M9"/>
    <mergeCell ref="B12:D12"/>
    <mergeCell ref="B13:D13"/>
    <mergeCell ref="B15:D15"/>
    <mergeCell ref="B18:D18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7"/>
  <sheetViews>
    <sheetView zoomScaleNormal="100" workbookViewId="0">
      <selection activeCell="Z15" sqref="Z15"/>
    </sheetView>
  </sheetViews>
  <sheetFormatPr defaultColWidth="9.140625" defaultRowHeight="15" outlineLevelCol="1" x14ac:dyDescent="0.25"/>
  <cols>
    <col min="2" max="2" width="33.5703125" customWidth="1"/>
    <col min="3" max="4" width="10.140625" customWidth="1"/>
    <col min="5" max="5" width="52.5703125" customWidth="1" outlineLevel="1"/>
    <col min="6" max="6" width="22" bestFit="1" customWidth="1"/>
    <col min="7" max="8" width="9.7109375" customWidth="1" outlineLevel="1"/>
    <col min="9" max="9" width="33.5703125" customWidth="1" outlineLevel="1"/>
    <col min="10" max="11" width="10.140625" customWidth="1"/>
    <col min="12" max="14" width="11.7109375" customWidth="1" outlineLevel="1"/>
    <col min="15" max="23" width="10.7109375" customWidth="1" outlineLevel="1"/>
    <col min="24" max="24" width="10.140625" customWidth="1"/>
  </cols>
  <sheetData>
    <row r="1" spans="1:24" ht="27" customHeight="1" thickBot="1" x14ac:dyDescent="0.3">
      <c r="A1" s="1" t="s">
        <v>176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</row>
    <row r="3" spans="1:24" x14ac:dyDescent="0.25">
      <c r="A3" s="92"/>
      <c r="B3" s="92"/>
      <c r="C3" s="92"/>
      <c r="D3" s="92"/>
      <c r="E3" s="92"/>
      <c r="F3" s="93" t="s">
        <v>17</v>
      </c>
      <c r="G3" s="92"/>
      <c r="H3" s="92"/>
      <c r="I3" s="93"/>
      <c r="J3" s="94">
        <v>5</v>
      </c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</row>
    <row r="4" spans="1:24" x14ac:dyDescent="0.25">
      <c r="A4" s="92"/>
      <c r="B4" s="92"/>
      <c r="C4" s="92"/>
      <c r="D4" s="92"/>
      <c r="E4" s="92"/>
      <c r="F4" s="93" t="s">
        <v>18</v>
      </c>
      <c r="G4" s="92"/>
      <c r="H4" s="92"/>
      <c r="I4" s="93"/>
      <c r="J4" s="95">
        <v>46195</v>
      </c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4" x14ac:dyDescent="0.25">
      <c r="A5" s="92"/>
      <c r="B5" s="92"/>
      <c r="C5" s="92"/>
      <c r="D5" s="92"/>
      <c r="E5" s="92"/>
      <c r="F5" s="93" t="s">
        <v>175</v>
      </c>
      <c r="G5" s="92"/>
      <c r="H5" s="92"/>
      <c r="I5" s="93"/>
      <c r="J5" s="208">
        <v>46201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x14ac:dyDescent="0.2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</row>
    <row r="7" spans="1:24" x14ac:dyDescent="0.25">
      <c r="A7" s="9" t="s">
        <v>19</v>
      </c>
      <c r="B7" s="10" t="s">
        <v>20</v>
      </c>
      <c r="C7" s="10" t="s">
        <v>21</v>
      </c>
      <c r="D7" s="10" t="s">
        <v>22</v>
      </c>
      <c r="E7" s="135" t="s">
        <v>177</v>
      </c>
      <c r="F7" s="27" t="s">
        <v>23</v>
      </c>
      <c r="G7" s="212" t="s">
        <v>178</v>
      </c>
      <c r="H7" s="213"/>
      <c r="I7" s="214"/>
      <c r="J7" s="111" t="s">
        <v>24</v>
      </c>
      <c r="K7" s="11" t="s">
        <v>25</v>
      </c>
      <c r="L7" s="218" t="s">
        <v>178</v>
      </c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20"/>
      <c r="X7" s="11" t="s">
        <v>26</v>
      </c>
    </row>
    <row r="8" spans="1:24" x14ac:dyDescent="0.25">
      <c r="A8" s="12" t="s">
        <v>27</v>
      </c>
      <c r="B8" s="13" t="s">
        <v>28</v>
      </c>
      <c r="C8" s="13" t="s">
        <v>29</v>
      </c>
      <c r="D8" s="12" t="s">
        <v>30</v>
      </c>
      <c r="E8" s="136" t="s">
        <v>30</v>
      </c>
      <c r="F8" s="28" t="s">
        <v>31</v>
      </c>
      <c r="G8" s="143" t="s">
        <v>16</v>
      </c>
      <c r="H8" s="144" t="s">
        <v>32</v>
      </c>
      <c r="I8" s="145" t="s">
        <v>32</v>
      </c>
      <c r="J8" s="96" t="s">
        <v>33</v>
      </c>
      <c r="K8" s="13" t="s">
        <v>16</v>
      </c>
      <c r="L8" s="215" t="s">
        <v>190</v>
      </c>
      <c r="M8" s="215" t="s">
        <v>189</v>
      </c>
      <c r="N8" s="215" t="s">
        <v>188</v>
      </c>
      <c r="O8" s="215" t="s">
        <v>187</v>
      </c>
      <c r="P8" s="215" t="s">
        <v>186</v>
      </c>
      <c r="Q8" s="215" t="s">
        <v>185</v>
      </c>
      <c r="R8" s="215" t="s">
        <v>184</v>
      </c>
      <c r="S8" s="215" t="s">
        <v>183</v>
      </c>
      <c r="T8" s="215" t="s">
        <v>182</v>
      </c>
      <c r="U8" s="215" t="s">
        <v>181</v>
      </c>
      <c r="V8" s="215" t="s">
        <v>180</v>
      </c>
      <c r="W8" s="215" t="s">
        <v>179</v>
      </c>
      <c r="X8" s="13" t="s">
        <v>170</v>
      </c>
    </row>
    <row r="9" spans="1:24" x14ac:dyDescent="0.25">
      <c r="A9" s="14" t="s">
        <v>34</v>
      </c>
      <c r="B9" s="15"/>
      <c r="C9" s="16" t="s">
        <v>35</v>
      </c>
      <c r="D9" s="16" t="s">
        <v>36</v>
      </c>
      <c r="E9" s="137" t="s">
        <v>36</v>
      </c>
      <c r="F9" s="29" t="s">
        <v>35</v>
      </c>
      <c r="G9" s="146" t="s">
        <v>37</v>
      </c>
      <c r="H9" s="137" t="s">
        <v>38</v>
      </c>
      <c r="I9" s="147" t="s">
        <v>39</v>
      </c>
      <c r="J9" s="97" t="s">
        <v>40</v>
      </c>
      <c r="K9" s="16" t="s">
        <v>41</v>
      </c>
      <c r="L9" s="216"/>
      <c r="M9" s="216"/>
      <c r="N9" s="216"/>
      <c r="O9" s="216"/>
      <c r="P9" s="216"/>
      <c r="Q9" s="216"/>
      <c r="R9" s="216"/>
      <c r="S9" s="216"/>
      <c r="T9" s="216"/>
      <c r="U9" s="216"/>
      <c r="V9" s="216"/>
      <c r="W9" s="216"/>
      <c r="X9" s="16" t="s">
        <v>171</v>
      </c>
    </row>
    <row r="10" spans="1:24" x14ac:dyDescent="0.25">
      <c r="A10" s="17"/>
      <c r="B10" s="15"/>
      <c r="C10" s="16" t="s">
        <v>42</v>
      </c>
      <c r="D10" s="16" t="s">
        <v>42</v>
      </c>
      <c r="E10" s="137" t="s">
        <v>39</v>
      </c>
      <c r="F10" s="29" t="s">
        <v>42</v>
      </c>
      <c r="G10" s="146" t="s">
        <v>43</v>
      </c>
      <c r="H10" s="148" t="s">
        <v>43</v>
      </c>
      <c r="I10" s="147"/>
      <c r="J10" s="97" t="s">
        <v>43</v>
      </c>
      <c r="K10" s="16" t="s">
        <v>44</v>
      </c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16"/>
    </row>
    <row r="11" spans="1:24" x14ac:dyDescent="0.25">
      <c r="A11" s="18"/>
      <c r="B11" s="6"/>
      <c r="C11" s="6"/>
      <c r="D11" s="6"/>
      <c r="E11" s="138"/>
      <c r="F11" s="30"/>
      <c r="G11" s="149"/>
      <c r="H11" s="150"/>
      <c r="I11" s="151"/>
      <c r="J11" s="98"/>
      <c r="K11" s="6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6"/>
    </row>
    <row r="12" spans="1:24" x14ac:dyDescent="0.25">
      <c r="A12" s="104" t="s">
        <v>45</v>
      </c>
      <c r="B12" s="102" t="s">
        <v>46</v>
      </c>
      <c r="C12" s="105"/>
      <c r="D12" s="106"/>
      <c r="E12" s="106"/>
      <c r="F12" s="107"/>
      <c r="G12" s="108"/>
      <c r="H12" s="106"/>
      <c r="I12" s="109"/>
      <c r="J12" s="9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x14ac:dyDescent="0.25">
      <c r="A13" s="19" t="s">
        <v>47</v>
      </c>
      <c r="B13" s="20" t="s">
        <v>48</v>
      </c>
      <c r="C13" s="21">
        <v>53056</v>
      </c>
      <c r="D13" s="21">
        <v>1360</v>
      </c>
      <c r="E13" s="139" t="s">
        <v>250</v>
      </c>
      <c r="F13" s="31">
        <f>C13+D13</f>
        <v>54416</v>
      </c>
      <c r="G13" s="152">
        <f>19058.2-K13</f>
        <v>948.20000000000073</v>
      </c>
      <c r="H13" s="153"/>
      <c r="I13" s="154"/>
      <c r="J13" s="100">
        <f>G13+H13</f>
        <v>948.20000000000073</v>
      </c>
      <c r="K13" s="21">
        <f>SUM(L13:W13)</f>
        <v>18110</v>
      </c>
      <c r="L13" s="153"/>
      <c r="M13" s="153"/>
      <c r="N13" s="153"/>
      <c r="O13" s="153"/>
      <c r="P13" s="153"/>
      <c r="Q13" s="153"/>
      <c r="R13" s="153"/>
      <c r="S13" s="153"/>
      <c r="T13" s="153">
        <v>1300</v>
      </c>
      <c r="U13" s="153">
        <v>6518</v>
      </c>
      <c r="V13" s="153">
        <v>5281</v>
      </c>
      <c r="W13" s="153">
        <v>5011</v>
      </c>
      <c r="X13" s="21">
        <f>F13-(K13+J13)</f>
        <v>35357.800000000003</v>
      </c>
    </row>
    <row r="14" spans="1:24" x14ac:dyDescent="0.25">
      <c r="A14" s="19" t="s">
        <v>49</v>
      </c>
      <c r="B14" s="20" t="s">
        <v>50</v>
      </c>
      <c r="C14" s="21">
        <v>1690</v>
      </c>
      <c r="D14" s="21">
        <v>150</v>
      </c>
      <c r="E14" s="139" t="s">
        <v>251</v>
      </c>
      <c r="F14" s="31">
        <f t="shared" ref="F14:F26" si="0">C14+D14</f>
        <v>1840</v>
      </c>
      <c r="G14" s="152">
        <f>2994.8-K14</f>
        <v>108.80000000000018</v>
      </c>
      <c r="H14" s="153"/>
      <c r="I14" s="154"/>
      <c r="J14" s="100">
        <f t="shared" ref="J14:J26" si="1">G14+H14</f>
        <v>108.80000000000018</v>
      </c>
      <c r="K14" s="21">
        <f t="shared" ref="K14:K26" si="2">SUM(L14:W14)</f>
        <v>2886</v>
      </c>
      <c r="L14" s="153"/>
      <c r="M14" s="153"/>
      <c r="N14" s="153"/>
      <c r="O14" s="153"/>
      <c r="P14" s="153"/>
      <c r="Q14" s="153"/>
      <c r="R14" s="153"/>
      <c r="S14" s="153"/>
      <c r="T14" s="153">
        <v>134</v>
      </c>
      <c r="U14" s="153">
        <v>335</v>
      </c>
      <c r="V14" s="153">
        <v>1525</v>
      </c>
      <c r="W14" s="153">
        <v>892</v>
      </c>
      <c r="X14" s="21">
        <f t="shared" ref="X14:X26" si="3">F14-(K14+J14)</f>
        <v>-1154.8000000000002</v>
      </c>
    </row>
    <row r="15" spans="1:24" x14ac:dyDescent="0.25">
      <c r="A15" s="19" t="s">
        <v>51</v>
      </c>
      <c r="B15" s="20" t="s">
        <v>52</v>
      </c>
      <c r="C15" s="21">
        <v>0</v>
      </c>
      <c r="D15" s="21">
        <v>0</v>
      </c>
      <c r="E15" s="139"/>
      <c r="F15" s="31">
        <f t="shared" si="0"/>
        <v>0</v>
      </c>
      <c r="G15" s="152"/>
      <c r="H15" s="153"/>
      <c r="I15" s="154"/>
      <c r="J15" s="100">
        <f t="shared" si="1"/>
        <v>0</v>
      </c>
      <c r="K15" s="21">
        <f t="shared" si="2"/>
        <v>0</v>
      </c>
      <c r="L15" s="153"/>
      <c r="M15" s="153"/>
      <c r="N15" s="153"/>
      <c r="O15" s="153"/>
      <c r="P15" s="153"/>
      <c r="Q15" s="153"/>
      <c r="R15" s="153"/>
      <c r="S15" s="153"/>
      <c r="T15" s="153">
        <v>0</v>
      </c>
      <c r="U15" s="153"/>
      <c r="V15" s="153">
        <v>0</v>
      </c>
      <c r="W15" s="153">
        <v>0</v>
      </c>
      <c r="X15" s="21">
        <f t="shared" si="3"/>
        <v>0</v>
      </c>
    </row>
    <row r="16" spans="1:24" x14ac:dyDescent="0.25">
      <c r="A16" s="19" t="s">
        <v>53</v>
      </c>
      <c r="B16" s="20" t="s">
        <v>54</v>
      </c>
      <c r="C16" s="21">
        <v>2400</v>
      </c>
      <c r="D16" s="21">
        <v>0</v>
      </c>
      <c r="E16" s="139"/>
      <c r="F16" s="31">
        <f t="shared" si="0"/>
        <v>2400</v>
      </c>
      <c r="G16" s="152">
        <f>1378.76-1378.76</f>
        <v>0</v>
      </c>
      <c r="H16" s="153"/>
      <c r="I16" s="154"/>
      <c r="J16" s="100">
        <f t="shared" si="1"/>
        <v>0</v>
      </c>
      <c r="K16" s="21">
        <f t="shared" si="2"/>
        <v>1379</v>
      </c>
      <c r="L16" s="153"/>
      <c r="M16" s="153"/>
      <c r="N16" s="153"/>
      <c r="O16" s="153"/>
      <c r="P16" s="153"/>
      <c r="Q16" s="153"/>
      <c r="R16" s="153"/>
      <c r="S16" s="153"/>
      <c r="T16" s="153">
        <v>0</v>
      </c>
      <c r="U16" s="153"/>
      <c r="V16" s="153">
        <v>0</v>
      </c>
      <c r="W16" s="153">
        <v>1379</v>
      </c>
      <c r="X16" s="21">
        <f t="shared" si="3"/>
        <v>1021</v>
      </c>
    </row>
    <row r="17" spans="1:24" x14ac:dyDescent="0.25">
      <c r="A17" s="19" t="s">
        <v>55</v>
      </c>
      <c r="B17" s="20" t="s">
        <v>56</v>
      </c>
      <c r="C17" s="21">
        <v>1443</v>
      </c>
      <c r="D17" s="21">
        <v>64</v>
      </c>
      <c r="E17" s="139" t="s">
        <v>252</v>
      </c>
      <c r="F17" s="31">
        <f t="shared" si="0"/>
        <v>1507</v>
      </c>
      <c r="G17" s="152">
        <f>F17/12</f>
        <v>125.58333333333333</v>
      </c>
      <c r="H17" s="153"/>
      <c r="I17" s="154"/>
      <c r="J17" s="100">
        <f t="shared" si="1"/>
        <v>125.58333333333333</v>
      </c>
      <c r="K17" s="21">
        <f t="shared" si="2"/>
        <v>504</v>
      </c>
      <c r="L17" s="153"/>
      <c r="M17" s="153"/>
      <c r="N17" s="153"/>
      <c r="O17" s="153"/>
      <c r="P17" s="153"/>
      <c r="Q17" s="153"/>
      <c r="R17" s="153"/>
      <c r="S17" s="153"/>
      <c r="T17" s="153">
        <v>126</v>
      </c>
      <c r="U17" s="153">
        <v>126</v>
      </c>
      <c r="V17" s="153">
        <v>126</v>
      </c>
      <c r="W17" s="153">
        <v>126</v>
      </c>
      <c r="X17" s="21">
        <f t="shared" si="3"/>
        <v>877.41666666666663</v>
      </c>
    </row>
    <row r="18" spans="1:24" x14ac:dyDescent="0.25">
      <c r="A18" s="19" t="s">
        <v>57</v>
      </c>
      <c r="B18" s="20" t="s">
        <v>58</v>
      </c>
      <c r="C18" s="21">
        <v>2806</v>
      </c>
      <c r="D18" s="21">
        <v>123</v>
      </c>
      <c r="E18" s="139" t="s">
        <v>253</v>
      </c>
      <c r="F18" s="31">
        <f t="shared" si="0"/>
        <v>2929</v>
      </c>
      <c r="G18" s="152">
        <f>F18/12</f>
        <v>244.08333333333334</v>
      </c>
      <c r="H18" s="153"/>
      <c r="I18" s="154"/>
      <c r="J18" s="100">
        <f t="shared" si="1"/>
        <v>244.08333333333334</v>
      </c>
      <c r="K18" s="21">
        <f t="shared" si="2"/>
        <v>976</v>
      </c>
      <c r="L18" s="153"/>
      <c r="M18" s="153"/>
      <c r="N18" s="153"/>
      <c r="O18" s="153"/>
      <c r="P18" s="153"/>
      <c r="Q18" s="153"/>
      <c r="R18" s="153"/>
      <c r="S18" s="153"/>
      <c r="T18" s="153">
        <v>244</v>
      </c>
      <c r="U18" s="153">
        <v>244</v>
      </c>
      <c r="V18" s="153">
        <v>244</v>
      </c>
      <c r="W18" s="153">
        <v>244</v>
      </c>
      <c r="X18" s="21">
        <f t="shared" si="3"/>
        <v>1708.9166666666667</v>
      </c>
    </row>
    <row r="19" spans="1:24" x14ac:dyDescent="0.25">
      <c r="A19" s="19" t="s">
        <v>59</v>
      </c>
      <c r="B19" s="20" t="s">
        <v>60</v>
      </c>
      <c r="C19" s="21">
        <v>430</v>
      </c>
      <c r="D19" s="21">
        <v>60</v>
      </c>
      <c r="E19" s="139" t="s">
        <v>254</v>
      </c>
      <c r="F19" s="31">
        <f t="shared" si="0"/>
        <v>490</v>
      </c>
      <c r="G19" s="152"/>
      <c r="H19" s="153"/>
      <c r="I19" s="154"/>
      <c r="J19" s="100">
        <f t="shared" si="1"/>
        <v>0</v>
      </c>
      <c r="K19" s="21">
        <f t="shared" si="2"/>
        <v>0</v>
      </c>
      <c r="L19" s="153"/>
      <c r="M19" s="153"/>
      <c r="N19" s="153"/>
      <c r="O19" s="153"/>
      <c r="P19" s="153"/>
      <c r="Q19" s="153"/>
      <c r="R19" s="153"/>
      <c r="S19" s="153"/>
      <c r="T19" s="153">
        <v>0</v>
      </c>
      <c r="U19" s="153">
        <v>0</v>
      </c>
      <c r="V19" s="153">
        <v>0</v>
      </c>
      <c r="W19" s="153">
        <v>0</v>
      </c>
      <c r="X19" s="21">
        <f t="shared" si="3"/>
        <v>490</v>
      </c>
    </row>
    <row r="20" spans="1:24" x14ac:dyDescent="0.25">
      <c r="A20" s="19" t="s">
        <v>284</v>
      </c>
      <c r="B20" s="20" t="s">
        <v>266</v>
      </c>
      <c r="C20" s="21">
        <v>0</v>
      </c>
      <c r="D20" s="21">
        <v>0</v>
      </c>
      <c r="E20" s="139"/>
      <c r="F20" s="31">
        <f t="shared" ref="F20" si="4">C20+D20</f>
        <v>0</v>
      </c>
      <c r="G20" s="152">
        <f>998.02-K20</f>
        <v>321.02</v>
      </c>
      <c r="H20" s="153"/>
      <c r="I20" s="154"/>
      <c r="J20" s="100">
        <f t="shared" ref="J20" si="5">G20+H20</f>
        <v>321.02</v>
      </c>
      <c r="K20" s="21">
        <f t="shared" ref="K20" si="6">SUM(L20:W20)</f>
        <v>677</v>
      </c>
      <c r="L20" s="153"/>
      <c r="M20" s="153"/>
      <c r="N20" s="153"/>
      <c r="O20" s="153"/>
      <c r="P20" s="153"/>
      <c r="Q20" s="153"/>
      <c r="R20" s="153"/>
      <c r="S20" s="153"/>
      <c r="T20" s="153">
        <v>0</v>
      </c>
      <c r="U20" s="153">
        <v>677</v>
      </c>
      <c r="V20" s="153">
        <v>0</v>
      </c>
      <c r="W20" s="153">
        <v>0</v>
      </c>
      <c r="X20" s="21">
        <f t="shared" ref="X20" si="7">F20-(K20+J20)</f>
        <v>-998.02</v>
      </c>
    </row>
    <row r="21" spans="1:24" x14ac:dyDescent="0.25">
      <c r="A21" s="19" t="s">
        <v>61</v>
      </c>
      <c r="B21" s="20" t="s">
        <v>62</v>
      </c>
      <c r="C21" s="21">
        <v>0</v>
      </c>
      <c r="D21" s="21">
        <v>0</v>
      </c>
      <c r="E21" s="139"/>
      <c r="F21" s="31">
        <f t="shared" si="0"/>
        <v>0</v>
      </c>
      <c r="G21" s="152"/>
      <c r="H21" s="153"/>
      <c r="I21" s="154"/>
      <c r="J21" s="100">
        <f t="shared" si="1"/>
        <v>0</v>
      </c>
      <c r="K21" s="21">
        <f t="shared" si="2"/>
        <v>0</v>
      </c>
      <c r="L21" s="153"/>
      <c r="M21" s="153"/>
      <c r="N21" s="153"/>
      <c r="O21" s="153"/>
      <c r="P21" s="153"/>
      <c r="Q21" s="153"/>
      <c r="R21" s="153"/>
      <c r="S21" s="153"/>
      <c r="T21" s="153">
        <v>0</v>
      </c>
      <c r="U21" s="153">
        <v>0</v>
      </c>
      <c r="V21" s="153">
        <v>0</v>
      </c>
      <c r="W21" s="153">
        <v>0</v>
      </c>
      <c r="X21" s="21">
        <f t="shared" si="3"/>
        <v>0</v>
      </c>
    </row>
    <row r="22" spans="1:24" x14ac:dyDescent="0.25">
      <c r="A22" s="19" t="s">
        <v>63</v>
      </c>
      <c r="B22" s="20" t="s">
        <v>64</v>
      </c>
      <c r="C22" s="21">
        <v>1275</v>
      </c>
      <c r="D22" s="21">
        <v>0</v>
      </c>
      <c r="E22" s="139"/>
      <c r="F22" s="31">
        <f t="shared" si="0"/>
        <v>1275</v>
      </c>
      <c r="G22" s="152">
        <f>F22/12</f>
        <v>106.25</v>
      </c>
      <c r="H22" s="153"/>
      <c r="I22" s="154"/>
      <c r="J22" s="100">
        <f t="shared" si="1"/>
        <v>106.25</v>
      </c>
      <c r="K22" s="21">
        <f t="shared" si="2"/>
        <v>424</v>
      </c>
      <c r="L22" s="153"/>
      <c r="M22" s="153"/>
      <c r="N22" s="153"/>
      <c r="O22" s="153"/>
      <c r="P22" s="153"/>
      <c r="Q22" s="153"/>
      <c r="R22" s="153"/>
      <c r="S22" s="153"/>
      <c r="T22" s="153">
        <v>106</v>
      </c>
      <c r="U22" s="153">
        <v>106</v>
      </c>
      <c r="V22" s="153">
        <v>106</v>
      </c>
      <c r="W22" s="153">
        <v>106</v>
      </c>
      <c r="X22" s="21">
        <f t="shared" si="3"/>
        <v>744.75</v>
      </c>
    </row>
    <row r="23" spans="1:24" x14ac:dyDescent="0.25">
      <c r="A23" s="19" t="s">
        <v>65</v>
      </c>
      <c r="B23" s="20" t="s">
        <v>66</v>
      </c>
      <c r="C23" s="21">
        <v>6750</v>
      </c>
      <c r="D23" s="21">
        <v>810</v>
      </c>
      <c r="E23" s="139" t="s">
        <v>255</v>
      </c>
      <c r="F23" s="31">
        <f t="shared" si="0"/>
        <v>7560</v>
      </c>
      <c r="G23" s="152">
        <f>5372.34-K23</f>
        <v>0.34000000000014552</v>
      </c>
      <c r="H23" s="153"/>
      <c r="I23" s="154"/>
      <c r="J23" s="100">
        <f t="shared" si="1"/>
        <v>0.34000000000014552</v>
      </c>
      <c r="K23" s="21">
        <f t="shared" si="2"/>
        <v>5372</v>
      </c>
      <c r="L23" s="153"/>
      <c r="M23" s="153"/>
      <c r="N23" s="153"/>
      <c r="O23" s="153"/>
      <c r="P23" s="153"/>
      <c r="Q23" s="153"/>
      <c r="R23" s="153"/>
      <c r="S23" s="153"/>
      <c r="T23" s="153">
        <v>0</v>
      </c>
      <c r="U23" s="153">
        <v>-339</v>
      </c>
      <c r="V23" s="153">
        <v>110</v>
      </c>
      <c r="W23" s="153">
        <v>5601</v>
      </c>
      <c r="X23" s="21">
        <f t="shared" si="3"/>
        <v>2187.66</v>
      </c>
    </row>
    <row r="24" spans="1:24" x14ac:dyDescent="0.25">
      <c r="A24" s="19" t="s">
        <v>67</v>
      </c>
      <c r="B24" s="20" t="s">
        <v>68</v>
      </c>
      <c r="C24" s="21">
        <v>20647</v>
      </c>
      <c r="D24" s="21">
        <v>963</v>
      </c>
      <c r="E24" s="139" t="s">
        <v>256</v>
      </c>
      <c r="F24" s="31">
        <f t="shared" si="0"/>
        <v>21610</v>
      </c>
      <c r="G24" s="152">
        <f>6598.95-K24</f>
        <v>127.94999999999982</v>
      </c>
      <c r="H24" s="153"/>
      <c r="I24" s="154"/>
      <c r="J24" s="100">
        <f t="shared" si="1"/>
        <v>127.94999999999982</v>
      </c>
      <c r="K24" s="21">
        <f t="shared" si="2"/>
        <v>6471</v>
      </c>
      <c r="L24" s="153"/>
      <c r="M24" s="153"/>
      <c r="N24" s="153"/>
      <c r="O24" s="153"/>
      <c r="P24" s="153"/>
      <c r="Q24" s="153"/>
      <c r="R24" s="153"/>
      <c r="S24" s="153"/>
      <c r="T24" s="153">
        <v>635</v>
      </c>
      <c r="U24" s="153">
        <v>2007</v>
      </c>
      <c r="V24" s="153">
        <v>2449</v>
      </c>
      <c r="W24" s="153">
        <v>1380</v>
      </c>
      <c r="X24" s="21">
        <f t="shared" si="3"/>
        <v>15011.05</v>
      </c>
    </row>
    <row r="25" spans="1:24" x14ac:dyDescent="0.25">
      <c r="A25" s="19" t="s">
        <v>69</v>
      </c>
      <c r="B25" s="20" t="s">
        <v>70</v>
      </c>
      <c r="C25" s="21">
        <v>6471</v>
      </c>
      <c r="D25" s="21">
        <v>264</v>
      </c>
      <c r="E25" s="139" t="s">
        <v>257</v>
      </c>
      <c r="F25" s="31">
        <f t="shared" si="0"/>
        <v>6735</v>
      </c>
      <c r="G25" s="152">
        <f>F25/12</f>
        <v>561.25</v>
      </c>
      <c r="H25" s="153"/>
      <c r="I25" s="154"/>
      <c r="J25" s="100">
        <f t="shared" si="1"/>
        <v>561.25</v>
      </c>
      <c r="K25" s="21">
        <f t="shared" si="2"/>
        <v>2244</v>
      </c>
      <c r="L25" s="153"/>
      <c r="M25" s="153"/>
      <c r="N25" s="153"/>
      <c r="O25" s="153"/>
      <c r="P25" s="153"/>
      <c r="Q25" s="153"/>
      <c r="R25" s="153"/>
      <c r="S25" s="153"/>
      <c r="T25" s="153">
        <v>561</v>
      </c>
      <c r="U25" s="153">
        <v>561</v>
      </c>
      <c r="V25" s="153">
        <v>561</v>
      </c>
      <c r="W25" s="153">
        <v>561</v>
      </c>
      <c r="X25" s="21">
        <f t="shared" si="3"/>
        <v>3929.75</v>
      </c>
    </row>
    <row r="26" spans="1:24" x14ac:dyDescent="0.25">
      <c r="A26" s="19" t="s">
        <v>71</v>
      </c>
      <c r="B26" s="20" t="s">
        <v>72</v>
      </c>
      <c r="C26" s="21">
        <v>2060</v>
      </c>
      <c r="D26" s="21">
        <v>75</v>
      </c>
      <c r="E26" s="139" t="s">
        <v>258</v>
      </c>
      <c r="F26" s="31">
        <f t="shared" si="0"/>
        <v>2135</v>
      </c>
      <c r="G26" s="152">
        <f>718.56-K26</f>
        <v>94.559999999999945</v>
      </c>
      <c r="H26" s="153"/>
      <c r="I26" s="154"/>
      <c r="J26" s="100">
        <f t="shared" si="1"/>
        <v>94.559999999999945</v>
      </c>
      <c r="K26" s="21">
        <f t="shared" si="2"/>
        <v>624</v>
      </c>
      <c r="L26" s="153"/>
      <c r="M26" s="153"/>
      <c r="N26" s="153"/>
      <c r="O26" s="153"/>
      <c r="P26" s="153"/>
      <c r="Q26" s="153"/>
      <c r="R26" s="153"/>
      <c r="S26" s="153"/>
      <c r="T26" s="153">
        <v>27</v>
      </c>
      <c r="U26" s="153">
        <v>299</v>
      </c>
      <c r="V26" s="153">
        <v>83</v>
      </c>
      <c r="W26" s="153">
        <v>215</v>
      </c>
      <c r="X26" s="21">
        <f t="shared" si="3"/>
        <v>1416.44</v>
      </c>
    </row>
    <row r="27" spans="1:24" x14ac:dyDescent="0.25">
      <c r="A27" s="19" t="s">
        <v>228</v>
      </c>
      <c r="B27" s="20" t="s">
        <v>229</v>
      </c>
      <c r="C27" s="21">
        <v>4700</v>
      </c>
      <c r="D27" s="21">
        <v>300</v>
      </c>
      <c r="E27" s="139" t="s">
        <v>259</v>
      </c>
      <c r="F27" s="31">
        <f t="shared" ref="F27" si="8">C27+D27</f>
        <v>5000</v>
      </c>
      <c r="G27" s="152"/>
      <c r="H27" s="153"/>
      <c r="I27" s="154"/>
      <c r="J27" s="100">
        <f t="shared" ref="J27" si="9">G27+H27</f>
        <v>0</v>
      </c>
      <c r="K27" s="21">
        <f t="shared" ref="K27" si="10">SUM(L27:W27)</f>
        <v>0</v>
      </c>
      <c r="L27" s="153"/>
      <c r="M27" s="153"/>
      <c r="N27" s="153"/>
      <c r="O27" s="153"/>
      <c r="P27" s="153"/>
      <c r="Q27" s="153"/>
      <c r="R27" s="153"/>
      <c r="S27" s="153"/>
      <c r="T27" s="153">
        <v>0</v>
      </c>
      <c r="U27" s="153"/>
      <c r="V27" s="153">
        <v>0</v>
      </c>
      <c r="W27" s="153">
        <v>0</v>
      </c>
      <c r="X27" s="21">
        <f t="shared" ref="X27" si="11">F27-(K27+J27)</f>
        <v>5000</v>
      </c>
    </row>
    <row r="28" spans="1:24" x14ac:dyDescent="0.25">
      <c r="A28" s="104" t="s">
        <v>73</v>
      </c>
      <c r="B28" s="102" t="s">
        <v>74</v>
      </c>
      <c r="C28" s="106"/>
      <c r="D28" s="106"/>
      <c r="E28" s="106"/>
      <c r="F28" s="107"/>
      <c r="G28" s="108"/>
      <c r="H28" s="106"/>
      <c r="I28" s="109"/>
      <c r="J28" s="100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 x14ac:dyDescent="0.25">
      <c r="A29" s="19" t="s">
        <v>223</v>
      </c>
      <c r="B29" s="20" t="s">
        <v>224</v>
      </c>
      <c r="C29" s="21">
        <v>19030</v>
      </c>
      <c r="D29" s="21">
        <f>730+480</f>
        <v>1210</v>
      </c>
      <c r="E29" s="139" t="s">
        <v>313</v>
      </c>
      <c r="F29" s="31">
        <f t="shared" ref="F29" si="12">C29+D29</f>
        <v>20240</v>
      </c>
      <c r="G29" s="152">
        <f>22249.86-K29</f>
        <v>303.86000000000058</v>
      </c>
      <c r="H29" s="153"/>
      <c r="I29" s="154"/>
      <c r="J29" s="100">
        <f t="shared" ref="J29" si="13">G29+H29</f>
        <v>303.86000000000058</v>
      </c>
      <c r="K29" s="21">
        <f t="shared" ref="K29" si="14">SUM(L29:W29)</f>
        <v>21946</v>
      </c>
      <c r="L29" s="153"/>
      <c r="M29" s="153"/>
      <c r="N29" s="153"/>
      <c r="O29" s="153"/>
      <c r="P29" s="153"/>
      <c r="Q29" s="153"/>
      <c r="R29" s="153"/>
      <c r="S29" s="153"/>
      <c r="T29" s="153">
        <v>113</v>
      </c>
      <c r="U29" s="153">
        <v>972</v>
      </c>
      <c r="V29" s="153">
        <v>1116</v>
      </c>
      <c r="W29" s="153">
        <v>19745</v>
      </c>
      <c r="X29" s="21">
        <f t="shared" ref="X29" si="15">F29-(K29+J29)</f>
        <v>-2009.8600000000006</v>
      </c>
    </row>
    <row r="30" spans="1:24" x14ac:dyDescent="0.25">
      <c r="A30" s="104" t="s">
        <v>75</v>
      </c>
      <c r="B30" s="102" t="s">
        <v>76</v>
      </c>
      <c r="C30" s="106"/>
      <c r="D30" s="106"/>
      <c r="E30" s="106"/>
      <c r="F30" s="107"/>
      <c r="G30" s="108"/>
      <c r="H30" s="106"/>
      <c r="I30" s="109"/>
      <c r="J30" s="100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 x14ac:dyDescent="0.25">
      <c r="A31" s="19" t="s">
        <v>77</v>
      </c>
      <c r="B31" s="20" t="s">
        <v>230</v>
      </c>
      <c r="C31" s="21">
        <v>900</v>
      </c>
      <c r="D31" s="21">
        <v>0</v>
      </c>
      <c r="E31" s="139"/>
      <c r="F31" s="31">
        <f>C31+D31</f>
        <v>900</v>
      </c>
      <c r="G31" s="152"/>
      <c r="H31" s="153"/>
      <c r="I31" s="155"/>
      <c r="J31" s="100">
        <f>G31+H31</f>
        <v>0</v>
      </c>
      <c r="K31" s="21">
        <f>SUM(L31:W31)</f>
        <v>0</v>
      </c>
      <c r="L31" s="153"/>
      <c r="M31" s="153"/>
      <c r="N31" s="153"/>
      <c r="O31" s="153"/>
      <c r="P31" s="153"/>
      <c r="Q31" s="153"/>
      <c r="R31" s="153"/>
      <c r="S31" s="153"/>
      <c r="T31" s="153">
        <v>0</v>
      </c>
      <c r="U31" s="153">
        <v>0</v>
      </c>
      <c r="V31" s="153">
        <v>0</v>
      </c>
      <c r="W31" s="153">
        <v>0</v>
      </c>
      <c r="X31" s="21">
        <f>F31-(J31+K31)</f>
        <v>900</v>
      </c>
    </row>
    <row r="32" spans="1:24" x14ac:dyDescent="0.25">
      <c r="A32" s="104" t="s">
        <v>78</v>
      </c>
      <c r="B32" s="102" t="s">
        <v>79</v>
      </c>
      <c r="C32" s="106"/>
      <c r="D32" s="106"/>
      <c r="E32" s="106"/>
      <c r="F32" s="107"/>
      <c r="G32" s="108"/>
      <c r="H32" s="106"/>
      <c r="I32" s="109"/>
      <c r="J32" s="100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x14ac:dyDescent="0.25">
      <c r="A33" s="19" t="s">
        <v>80</v>
      </c>
      <c r="B33" s="20" t="s">
        <v>81</v>
      </c>
      <c r="C33" s="21">
        <v>0</v>
      </c>
      <c r="D33" s="21">
        <v>0</v>
      </c>
      <c r="E33" s="139"/>
      <c r="F33" s="31">
        <f>C33+D33</f>
        <v>0</v>
      </c>
      <c r="G33" s="152"/>
      <c r="H33" s="153"/>
      <c r="I33" s="155"/>
      <c r="J33" s="100">
        <f>G33+H33</f>
        <v>0</v>
      </c>
      <c r="K33" s="21">
        <f>SUM(L33:W33)</f>
        <v>0</v>
      </c>
      <c r="L33" s="153"/>
      <c r="M33" s="153"/>
      <c r="N33" s="153"/>
      <c r="O33" s="153"/>
      <c r="P33" s="153"/>
      <c r="Q33" s="153"/>
      <c r="R33" s="153"/>
      <c r="S33" s="153"/>
      <c r="T33" s="153">
        <v>0</v>
      </c>
      <c r="U33" s="153">
        <v>0</v>
      </c>
      <c r="V33" s="153">
        <v>0</v>
      </c>
      <c r="W33" s="153">
        <v>0</v>
      </c>
      <c r="X33" s="21">
        <f>F33-(J33+K33)</f>
        <v>0</v>
      </c>
    </row>
    <row r="34" spans="1:24" x14ac:dyDescent="0.25">
      <c r="A34" s="104" t="s">
        <v>82</v>
      </c>
      <c r="B34" s="102" t="s">
        <v>83</v>
      </c>
      <c r="C34" s="106"/>
      <c r="D34" s="106"/>
      <c r="E34" s="106"/>
      <c r="F34" s="107"/>
      <c r="G34" s="108"/>
      <c r="H34" s="106"/>
      <c r="I34" s="109"/>
      <c r="J34" s="100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x14ac:dyDescent="0.25">
      <c r="A35" s="19" t="s">
        <v>84</v>
      </c>
      <c r="B35" s="20" t="s">
        <v>85</v>
      </c>
      <c r="C35" s="21">
        <v>35000</v>
      </c>
      <c r="D35" s="21">
        <v>660</v>
      </c>
      <c r="E35" s="139" t="s">
        <v>289</v>
      </c>
      <c r="F35" s="31">
        <f>C35+D35</f>
        <v>35660</v>
      </c>
      <c r="G35" s="152">
        <f>17948.8+(6000+3000)-K35</f>
        <v>825.79999999999927</v>
      </c>
      <c r="H35" s="153"/>
      <c r="I35" s="155" t="s">
        <v>285</v>
      </c>
      <c r="J35" s="100">
        <f>G35+H35</f>
        <v>825.79999999999927</v>
      </c>
      <c r="K35" s="21">
        <f>SUM(L35:W35)</f>
        <v>26123</v>
      </c>
      <c r="L35" s="153"/>
      <c r="M35" s="153"/>
      <c r="N35" s="153"/>
      <c r="O35" s="153"/>
      <c r="P35" s="153"/>
      <c r="Q35" s="153"/>
      <c r="R35" s="153"/>
      <c r="S35" s="153"/>
      <c r="T35" s="153">
        <v>2555</v>
      </c>
      <c r="U35" s="153">
        <v>8346</v>
      </c>
      <c r="V35" s="153">
        <v>10056</v>
      </c>
      <c r="W35" s="153">
        <v>5166</v>
      </c>
      <c r="X35" s="21">
        <f>F35-(J35+K35)</f>
        <v>8711.2000000000007</v>
      </c>
    </row>
    <row r="36" spans="1:24" x14ac:dyDescent="0.25">
      <c r="A36" s="19" t="s">
        <v>86</v>
      </c>
      <c r="B36" s="20" t="s">
        <v>231</v>
      </c>
      <c r="C36" s="21">
        <v>154190</v>
      </c>
      <c r="D36" s="21">
        <f>5048+9500</f>
        <v>14548</v>
      </c>
      <c r="E36" s="139" t="s">
        <v>307</v>
      </c>
      <c r="F36" s="31">
        <f t="shared" ref="F36:F38" si="16">C36+D36</f>
        <v>168738</v>
      </c>
      <c r="G36" s="152">
        <f>16312.01-K36</f>
        <v>1.0000000000218279E-2</v>
      </c>
      <c r="H36" s="153"/>
      <c r="I36" s="155"/>
      <c r="J36" s="100">
        <f t="shared" ref="J36:J38" si="17">G36+H36</f>
        <v>1.0000000000218279E-2</v>
      </c>
      <c r="K36" s="21">
        <f t="shared" ref="K36:K38" si="18">SUM(L36:W36)</f>
        <v>16312</v>
      </c>
      <c r="L36" s="153"/>
      <c r="M36" s="153"/>
      <c r="N36" s="153"/>
      <c r="O36" s="153"/>
      <c r="P36" s="153"/>
      <c r="Q36" s="153"/>
      <c r="R36" s="153"/>
      <c r="S36" s="153"/>
      <c r="T36" s="153">
        <v>8</v>
      </c>
      <c r="U36" s="153">
        <v>0</v>
      </c>
      <c r="V36" s="153">
        <v>0</v>
      </c>
      <c r="W36" s="153">
        <v>16304</v>
      </c>
      <c r="X36" s="21">
        <f t="shared" ref="X36:X38" si="19">F36-(J36+K36)</f>
        <v>152425.99</v>
      </c>
    </row>
    <row r="37" spans="1:24" x14ac:dyDescent="0.25">
      <c r="A37" s="19" t="s">
        <v>87</v>
      </c>
      <c r="B37" s="20" t="s">
        <v>232</v>
      </c>
      <c r="C37" s="21">
        <v>56095</v>
      </c>
      <c r="D37" s="21">
        <f>3601+596</f>
        <v>4197</v>
      </c>
      <c r="E37" s="139" t="s">
        <v>312</v>
      </c>
      <c r="F37" s="31">
        <f t="shared" si="16"/>
        <v>60292</v>
      </c>
      <c r="G37" s="152"/>
      <c r="H37" s="153"/>
      <c r="I37" s="155"/>
      <c r="J37" s="100">
        <f t="shared" si="17"/>
        <v>0</v>
      </c>
      <c r="K37" s="21">
        <f t="shared" si="18"/>
        <v>0</v>
      </c>
      <c r="L37" s="153"/>
      <c r="M37" s="153"/>
      <c r="N37" s="153"/>
      <c r="O37" s="153"/>
      <c r="P37" s="153"/>
      <c r="Q37" s="153"/>
      <c r="R37" s="153"/>
      <c r="S37" s="153"/>
      <c r="T37" s="153">
        <v>0</v>
      </c>
      <c r="U37" s="153">
        <v>0</v>
      </c>
      <c r="V37" s="153">
        <v>0</v>
      </c>
      <c r="W37" s="153">
        <v>0</v>
      </c>
      <c r="X37" s="21">
        <f t="shared" si="19"/>
        <v>60292</v>
      </c>
    </row>
    <row r="38" spans="1:24" x14ac:dyDescent="0.25">
      <c r="A38" s="19" t="s">
        <v>88</v>
      </c>
      <c r="B38" s="20" t="s">
        <v>233</v>
      </c>
      <c r="C38" s="21">
        <v>60872</v>
      </c>
      <c r="D38" s="21">
        <v>4963</v>
      </c>
      <c r="E38" s="139" t="s">
        <v>293</v>
      </c>
      <c r="F38" s="31">
        <f t="shared" si="16"/>
        <v>65835</v>
      </c>
      <c r="G38" s="152"/>
      <c r="H38" s="153"/>
      <c r="I38" s="155"/>
      <c r="J38" s="100">
        <f t="shared" si="17"/>
        <v>0</v>
      </c>
      <c r="K38" s="21">
        <f t="shared" si="18"/>
        <v>0</v>
      </c>
      <c r="L38" s="153"/>
      <c r="M38" s="153"/>
      <c r="N38" s="153"/>
      <c r="O38" s="153"/>
      <c r="P38" s="153"/>
      <c r="Q38" s="153"/>
      <c r="R38" s="153"/>
      <c r="S38" s="153"/>
      <c r="T38" s="153">
        <v>0</v>
      </c>
      <c r="U38" s="153">
        <v>0</v>
      </c>
      <c r="V38" s="153">
        <v>0</v>
      </c>
      <c r="W38" s="153">
        <v>0</v>
      </c>
      <c r="X38" s="21">
        <f t="shared" si="19"/>
        <v>65835</v>
      </c>
    </row>
    <row r="39" spans="1:24" x14ac:dyDescent="0.25">
      <c r="A39" s="104" t="s">
        <v>89</v>
      </c>
      <c r="B39" s="102" t="s">
        <v>90</v>
      </c>
      <c r="C39" s="106"/>
      <c r="D39" s="106"/>
      <c r="E39" s="106"/>
      <c r="F39" s="107"/>
      <c r="G39" s="108"/>
      <c r="H39" s="106"/>
      <c r="I39" s="109"/>
      <c r="J39" s="100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</row>
    <row r="40" spans="1:24" x14ac:dyDescent="0.25">
      <c r="A40" s="19" t="s">
        <v>91</v>
      </c>
      <c r="B40" s="20" t="s">
        <v>92</v>
      </c>
      <c r="C40" s="21">
        <v>0</v>
      </c>
      <c r="D40" s="21">
        <v>0</v>
      </c>
      <c r="E40" s="139"/>
      <c r="F40" s="31">
        <f>C40+D40</f>
        <v>0</v>
      </c>
      <c r="G40" s="152"/>
      <c r="H40" s="153"/>
      <c r="I40" s="155"/>
      <c r="J40" s="100">
        <f>G40+H40</f>
        <v>0</v>
      </c>
      <c r="K40" s="21">
        <f>SUM(L40:W40)</f>
        <v>0</v>
      </c>
      <c r="L40" s="153"/>
      <c r="M40" s="153"/>
      <c r="N40" s="153"/>
      <c r="O40" s="153"/>
      <c r="P40" s="153"/>
      <c r="Q40" s="153"/>
      <c r="R40" s="153"/>
      <c r="S40" s="153"/>
      <c r="T40" s="153">
        <v>0</v>
      </c>
      <c r="U40" s="153">
        <v>0</v>
      </c>
      <c r="V40" s="153">
        <v>0</v>
      </c>
      <c r="W40" s="153">
        <v>0</v>
      </c>
      <c r="X40" s="21">
        <f>F40-(J40+K40)</f>
        <v>0</v>
      </c>
    </row>
    <row r="41" spans="1:24" x14ac:dyDescent="0.25">
      <c r="A41" s="19" t="s">
        <v>93</v>
      </c>
      <c r="B41" s="20" t="s">
        <v>94</v>
      </c>
      <c r="C41" s="21">
        <v>8825</v>
      </c>
      <c r="D41" s="21">
        <v>0</v>
      </c>
      <c r="E41" s="139"/>
      <c r="F41" s="31">
        <f t="shared" ref="F41" si="20">C41+D41</f>
        <v>8825</v>
      </c>
      <c r="G41" s="152"/>
      <c r="H41" s="153"/>
      <c r="I41" s="155"/>
      <c r="J41" s="100">
        <f t="shared" ref="J41" si="21">G41+H41</f>
        <v>0</v>
      </c>
      <c r="K41" s="21">
        <f t="shared" ref="K41" si="22">SUM(L41:W41)</f>
        <v>0</v>
      </c>
      <c r="L41" s="153"/>
      <c r="M41" s="153"/>
      <c r="N41" s="153"/>
      <c r="O41" s="153"/>
      <c r="P41" s="153"/>
      <c r="Q41" s="153"/>
      <c r="R41" s="153"/>
      <c r="S41" s="153"/>
      <c r="T41" s="153">
        <v>0</v>
      </c>
      <c r="U41" s="153">
        <v>0</v>
      </c>
      <c r="V41" s="153">
        <v>0</v>
      </c>
      <c r="W41" s="153">
        <v>0</v>
      </c>
      <c r="X41" s="21">
        <f t="shared" ref="X41" si="23">F41-(J41+K41)</f>
        <v>8825</v>
      </c>
    </row>
    <row r="42" spans="1:24" x14ac:dyDescent="0.25">
      <c r="A42" s="104" t="s">
        <v>95</v>
      </c>
      <c r="B42" s="102" t="s">
        <v>96</v>
      </c>
      <c r="C42" s="106"/>
      <c r="D42" s="106"/>
      <c r="E42" s="106"/>
      <c r="F42" s="107"/>
      <c r="G42" s="108"/>
      <c r="H42" s="106"/>
      <c r="I42" s="109"/>
      <c r="J42" s="100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</row>
    <row r="43" spans="1:24" x14ac:dyDescent="0.25">
      <c r="A43" s="19" t="s">
        <v>97</v>
      </c>
      <c r="B43" s="20" t="s">
        <v>98</v>
      </c>
      <c r="C43" s="21">
        <v>11003</v>
      </c>
      <c r="D43" s="21">
        <v>1806</v>
      </c>
      <c r="E43" s="139" t="s">
        <v>291</v>
      </c>
      <c r="F43" s="31">
        <f>C43+D43</f>
        <v>12809</v>
      </c>
      <c r="G43" s="152"/>
      <c r="H43" s="153"/>
      <c r="I43" s="155"/>
      <c r="J43" s="100">
        <f>G43+H43</f>
        <v>0</v>
      </c>
      <c r="K43" s="21">
        <f>SUM(L43:W43)</f>
        <v>0</v>
      </c>
      <c r="L43" s="153"/>
      <c r="M43" s="153"/>
      <c r="N43" s="153"/>
      <c r="O43" s="153"/>
      <c r="P43" s="153"/>
      <c r="Q43" s="153"/>
      <c r="R43" s="153"/>
      <c r="S43" s="153"/>
      <c r="T43" s="153">
        <v>0</v>
      </c>
      <c r="U43" s="153">
        <v>0</v>
      </c>
      <c r="V43" s="153">
        <v>0</v>
      </c>
      <c r="W43" s="153">
        <v>0</v>
      </c>
      <c r="X43" s="21">
        <f>F43-(J43+K43)</f>
        <v>12809</v>
      </c>
    </row>
    <row r="44" spans="1:24" x14ac:dyDescent="0.25">
      <c r="A44" s="19" t="s">
        <v>99</v>
      </c>
      <c r="B44" s="20" t="s">
        <v>100</v>
      </c>
      <c r="C44" s="21">
        <v>24678</v>
      </c>
      <c r="D44" s="21">
        <v>0</v>
      </c>
      <c r="E44" s="139"/>
      <c r="F44" s="31">
        <f t="shared" ref="F44:F46" si="24">C44+D44</f>
        <v>24678</v>
      </c>
      <c r="G44" s="152"/>
      <c r="H44" s="153"/>
      <c r="I44" s="155"/>
      <c r="J44" s="100">
        <f t="shared" ref="J44:J46" si="25">G44+H44</f>
        <v>0</v>
      </c>
      <c r="K44" s="21">
        <f t="shared" ref="K44:K46" si="26">SUM(L44:W44)</f>
        <v>0</v>
      </c>
      <c r="L44" s="153"/>
      <c r="M44" s="153"/>
      <c r="N44" s="153"/>
      <c r="O44" s="153"/>
      <c r="P44" s="153"/>
      <c r="Q44" s="153"/>
      <c r="R44" s="153"/>
      <c r="S44" s="153"/>
      <c r="T44" s="153">
        <v>0</v>
      </c>
      <c r="U44" s="153">
        <v>0</v>
      </c>
      <c r="V44" s="153">
        <v>0</v>
      </c>
      <c r="W44" s="153">
        <v>0</v>
      </c>
      <c r="X44" s="21">
        <f t="shared" ref="X44:X46" si="27">F44-(J44+K44)</f>
        <v>24678</v>
      </c>
    </row>
    <row r="45" spans="1:24" x14ac:dyDescent="0.25">
      <c r="A45" s="19" t="s">
        <v>101</v>
      </c>
      <c r="B45" s="20" t="s">
        <v>234</v>
      </c>
      <c r="C45" s="21">
        <v>0</v>
      </c>
      <c r="D45" s="21">
        <v>0</v>
      </c>
      <c r="E45" s="139"/>
      <c r="F45" s="31">
        <f t="shared" si="24"/>
        <v>0</v>
      </c>
      <c r="G45" s="152"/>
      <c r="H45" s="153"/>
      <c r="I45" s="155"/>
      <c r="J45" s="100">
        <f t="shared" si="25"/>
        <v>0</v>
      </c>
      <c r="K45" s="21">
        <f t="shared" si="26"/>
        <v>0</v>
      </c>
      <c r="L45" s="153"/>
      <c r="M45" s="153"/>
      <c r="N45" s="153"/>
      <c r="O45" s="153"/>
      <c r="P45" s="153"/>
      <c r="Q45" s="153"/>
      <c r="R45" s="153"/>
      <c r="S45" s="153"/>
      <c r="T45" s="153">
        <v>0</v>
      </c>
      <c r="U45" s="153">
        <v>0</v>
      </c>
      <c r="V45" s="153">
        <v>0</v>
      </c>
      <c r="W45" s="153">
        <v>0</v>
      </c>
      <c r="X45" s="21">
        <f t="shared" si="27"/>
        <v>0</v>
      </c>
    </row>
    <row r="46" spans="1:24" x14ac:dyDescent="0.25">
      <c r="A46" s="19" t="s">
        <v>102</v>
      </c>
      <c r="B46" s="20" t="s">
        <v>103</v>
      </c>
      <c r="C46" s="21">
        <v>17689</v>
      </c>
      <c r="D46" s="21">
        <f>3616+1010</f>
        <v>4626</v>
      </c>
      <c r="E46" s="139" t="s">
        <v>311</v>
      </c>
      <c r="F46" s="31">
        <f t="shared" si="24"/>
        <v>22315</v>
      </c>
      <c r="G46" s="152">
        <f>1603.93-K46</f>
        <v>-6.9999999999936335E-2</v>
      </c>
      <c r="H46" s="153"/>
      <c r="I46" s="155"/>
      <c r="J46" s="100">
        <f t="shared" si="25"/>
        <v>-6.9999999999936335E-2</v>
      </c>
      <c r="K46" s="21">
        <f t="shared" si="26"/>
        <v>1604</v>
      </c>
      <c r="L46" s="153"/>
      <c r="M46" s="153"/>
      <c r="N46" s="153"/>
      <c r="O46" s="153"/>
      <c r="P46" s="153"/>
      <c r="Q46" s="153"/>
      <c r="R46" s="153"/>
      <c r="S46" s="153"/>
      <c r="T46" s="153">
        <v>1604</v>
      </c>
      <c r="U46" s="153">
        <v>0</v>
      </c>
      <c r="V46" s="153">
        <v>0</v>
      </c>
      <c r="W46" s="153">
        <v>0</v>
      </c>
      <c r="X46" s="21">
        <f t="shared" si="27"/>
        <v>20711.07</v>
      </c>
    </row>
    <row r="47" spans="1:24" x14ac:dyDescent="0.25">
      <c r="A47" s="104" t="s">
        <v>104</v>
      </c>
      <c r="B47" s="102" t="s">
        <v>105</v>
      </c>
      <c r="C47" s="106"/>
      <c r="D47" s="106"/>
      <c r="E47" s="106"/>
      <c r="F47" s="107"/>
      <c r="G47" s="108"/>
      <c r="H47" s="106"/>
      <c r="I47" s="109"/>
      <c r="J47" s="100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 x14ac:dyDescent="0.25">
      <c r="A48" s="19" t="s">
        <v>106</v>
      </c>
      <c r="B48" s="20" t="s">
        <v>107</v>
      </c>
      <c r="C48" s="21">
        <v>21099</v>
      </c>
      <c r="D48" s="21">
        <f>780+3030</f>
        <v>3810</v>
      </c>
      <c r="E48" s="139" t="s">
        <v>290</v>
      </c>
      <c r="F48" s="31">
        <f>C48+D48</f>
        <v>24909</v>
      </c>
      <c r="G48" s="152"/>
      <c r="H48" s="153"/>
      <c r="I48" s="155"/>
      <c r="J48" s="100">
        <f>G48+H48</f>
        <v>0</v>
      </c>
      <c r="K48" s="21">
        <f>SUM(L48:W48)</f>
        <v>0</v>
      </c>
      <c r="L48" s="153"/>
      <c r="M48" s="153"/>
      <c r="N48" s="153"/>
      <c r="O48" s="153"/>
      <c r="P48" s="153"/>
      <c r="Q48" s="153"/>
      <c r="R48" s="153"/>
      <c r="S48" s="153"/>
      <c r="T48" s="153">
        <v>0</v>
      </c>
      <c r="U48" s="153">
        <v>0</v>
      </c>
      <c r="V48" s="153">
        <v>0</v>
      </c>
      <c r="W48" s="153">
        <v>0</v>
      </c>
      <c r="X48" s="21">
        <f>F48-(J48+K48)</f>
        <v>24909</v>
      </c>
    </row>
    <row r="49" spans="1:24" x14ac:dyDescent="0.25">
      <c r="A49" s="19" t="s">
        <v>235</v>
      </c>
      <c r="B49" s="20" t="s">
        <v>236</v>
      </c>
      <c r="C49" s="21"/>
      <c r="D49" s="21"/>
      <c r="E49" s="139"/>
      <c r="F49" s="31"/>
      <c r="G49" s="152"/>
      <c r="H49" s="153"/>
      <c r="I49" s="155"/>
      <c r="J49" s="100"/>
      <c r="K49" s="21"/>
      <c r="L49" s="153"/>
      <c r="M49" s="153"/>
      <c r="N49" s="153"/>
      <c r="O49" s="153"/>
      <c r="P49" s="153"/>
      <c r="Q49" s="153"/>
      <c r="R49" s="153"/>
      <c r="S49" s="153"/>
      <c r="T49" s="153">
        <v>0</v>
      </c>
      <c r="U49" s="153">
        <v>0</v>
      </c>
      <c r="V49" s="153"/>
      <c r="W49" s="153"/>
      <c r="X49" s="21"/>
    </row>
    <row r="50" spans="1:24" x14ac:dyDescent="0.25">
      <c r="A50" s="19"/>
      <c r="B50" s="164" t="s">
        <v>108</v>
      </c>
      <c r="C50" s="21">
        <v>44349</v>
      </c>
      <c r="D50" s="21">
        <v>2200</v>
      </c>
      <c r="E50" s="139" t="s">
        <v>260</v>
      </c>
      <c r="F50" s="31">
        <f t="shared" ref="F50:F58" si="28">C50+D50</f>
        <v>46549</v>
      </c>
      <c r="G50" s="152"/>
      <c r="H50" s="153"/>
      <c r="I50" s="155"/>
      <c r="J50" s="100">
        <f t="shared" ref="J50:J58" si="29">G50+H50</f>
        <v>0</v>
      </c>
      <c r="K50" s="21">
        <f t="shared" ref="K50:K58" si="30">SUM(L50:W50)</f>
        <v>0</v>
      </c>
      <c r="L50" s="153"/>
      <c r="M50" s="153"/>
      <c r="N50" s="153"/>
      <c r="O50" s="153"/>
      <c r="P50" s="153"/>
      <c r="Q50" s="153"/>
      <c r="R50" s="153"/>
      <c r="S50" s="153"/>
      <c r="T50" s="153">
        <v>0</v>
      </c>
      <c r="U50" s="153">
        <v>0</v>
      </c>
      <c r="V50" s="153">
        <v>0</v>
      </c>
      <c r="W50" s="153">
        <v>0</v>
      </c>
      <c r="X50" s="21">
        <f t="shared" ref="X50:X58" si="31">F50-(J50+K50)</f>
        <v>46549</v>
      </c>
    </row>
    <row r="51" spans="1:24" x14ac:dyDescent="0.25">
      <c r="A51" s="19"/>
      <c r="B51" s="164" t="s">
        <v>109</v>
      </c>
      <c r="C51" s="21">
        <v>5589</v>
      </c>
      <c r="D51" s="21">
        <v>0</v>
      </c>
      <c r="E51" s="139"/>
      <c r="F51" s="31">
        <f t="shared" si="28"/>
        <v>5589</v>
      </c>
      <c r="G51" s="152"/>
      <c r="H51" s="153"/>
      <c r="I51" s="155"/>
      <c r="J51" s="100">
        <f t="shared" si="29"/>
        <v>0</v>
      </c>
      <c r="K51" s="21">
        <f t="shared" si="30"/>
        <v>0</v>
      </c>
      <c r="L51" s="153"/>
      <c r="M51" s="153"/>
      <c r="N51" s="153"/>
      <c r="O51" s="153"/>
      <c r="P51" s="153"/>
      <c r="Q51" s="153"/>
      <c r="R51" s="153"/>
      <c r="S51" s="153"/>
      <c r="T51" s="153">
        <v>0</v>
      </c>
      <c r="U51" s="153">
        <v>0</v>
      </c>
      <c r="V51" s="153">
        <v>0</v>
      </c>
      <c r="W51" s="153">
        <v>0</v>
      </c>
      <c r="X51" s="21">
        <f t="shared" si="31"/>
        <v>5589</v>
      </c>
    </row>
    <row r="52" spans="1:24" x14ac:dyDescent="0.25">
      <c r="A52" s="19"/>
      <c r="B52" s="164" t="s">
        <v>110</v>
      </c>
      <c r="C52" s="21">
        <v>0</v>
      </c>
      <c r="D52" s="21">
        <v>0</v>
      </c>
      <c r="E52" s="139"/>
      <c r="F52" s="31">
        <f t="shared" si="28"/>
        <v>0</v>
      </c>
      <c r="G52" s="152"/>
      <c r="H52" s="153"/>
      <c r="I52" s="155"/>
      <c r="J52" s="100">
        <f t="shared" si="29"/>
        <v>0</v>
      </c>
      <c r="K52" s="21">
        <f t="shared" si="30"/>
        <v>0</v>
      </c>
      <c r="L52" s="153"/>
      <c r="M52" s="153"/>
      <c r="N52" s="153"/>
      <c r="O52" s="153"/>
      <c r="P52" s="153"/>
      <c r="Q52" s="153"/>
      <c r="R52" s="153"/>
      <c r="S52" s="153"/>
      <c r="T52" s="153">
        <v>0</v>
      </c>
      <c r="U52" s="153">
        <v>0</v>
      </c>
      <c r="V52" s="153">
        <v>0</v>
      </c>
      <c r="W52" s="153">
        <v>0</v>
      </c>
      <c r="X52" s="21">
        <f t="shared" si="31"/>
        <v>0</v>
      </c>
    </row>
    <row r="53" spans="1:24" x14ac:dyDescent="0.25">
      <c r="A53" s="19"/>
      <c r="B53" s="164" t="s">
        <v>111</v>
      </c>
      <c r="C53" s="21">
        <v>30137</v>
      </c>
      <c r="D53" s="21">
        <v>6560</v>
      </c>
      <c r="E53" s="139" t="s">
        <v>261</v>
      </c>
      <c r="F53" s="31">
        <f t="shared" si="28"/>
        <v>36697</v>
      </c>
      <c r="G53" s="152"/>
      <c r="H53" s="153"/>
      <c r="I53" s="155"/>
      <c r="J53" s="100">
        <f t="shared" si="29"/>
        <v>0</v>
      </c>
      <c r="K53" s="21">
        <f t="shared" si="30"/>
        <v>0</v>
      </c>
      <c r="L53" s="153"/>
      <c r="M53" s="153"/>
      <c r="N53" s="153"/>
      <c r="O53" s="153"/>
      <c r="P53" s="153"/>
      <c r="Q53" s="153"/>
      <c r="R53" s="153"/>
      <c r="S53" s="153"/>
      <c r="T53" s="153">
        <v>0</v>
      </c>
      <c r="U53" s="153">
        <v>0</v>
      </c>
      <c r="V53" s="153">
        <v>0</v>
      </c>
      <c r="W53" s="153">
        <v>0</v>
      </c>
      <c r="X53" s="21">
        <f t="shared" si="31"/>
        <v>36697</v>
      </c>
    </row>
    <row r="54" spans="1:24" x14ac:dyDescent="0.25">
      <c r="A54" s="19" t="s">
        <v>112</v>
      </c>
      <c r="B54" s="20" t="s">
        <v>113</v>
      </c>
      <c r="C54" s="21">
        <v>10942</v>
      </c>
      <c r="D54" s="21">
        <v>0</v>
      </c>
      <c r="E54" s="139"/>
      <c r="F54" s="31">
        <f t="shared" si="28"/>
        <v>10942</v>
      </c>
      <c r="G54" s="152"/>
      <c r="H54" s="153"/>
      <c r="I54" s="155"/>
      <c r="J54" s="100">
        <f t="shared" si="29"/>
        <v>0</v>
      </c>
      <c r="K54" s="21">
        <f t="shared" si="30"/>
        <v>0</v>
      </c>
      <c r="L54" s="153"/>
      <c r="M54" s="153"/>
      <c r="N54" s="153"/>
      <c r="O54" s="153"/>
      <c r="P54" s="153"/>
      <c r="Q54" s="153"/>
      <c r="R54" s="153"/>
      <c r="S54" s="153"/>
      <c r="T54" s="153">
        <v>0</v>
      </c>
      <c r="U54" s="153">
        <v>0</v>
      </c>
      <c r="V54" s="153">
        <v>0</v>
      </c>
      <c r="W54" s="153">
        <v>0</v>
      </c>
      <c r="X54" s="21">
        <f t="shared" si="31"/>
        <v>10942</v>
      </c>
    </row>
    <row r="55" spans="1:24" x14ac:dyDescent="0.25">
      <c r="A55" s="19" t="s">
        <v>114</v>
      </c>
      <c r="B55" s="20" t="s">
        <v>115</v>
      </c>
      <c r="C55" s="21">
        <v>0</v>
      </c>
      <c r="D55" s="21">
        <v>0</v>
      </c>
      <c r="E55" s="139"/>
      <c r="F55" s="31">
        <f t="shared" si="28"/>
        <v>0</v>
      </c>
      <c r="G55" s="152"/>
      <c r="H55" s="153"/>
      <c r="I55" s="155"/>
      <c r="J55" s="100">
        <f t="shared" si="29"/>
        <v>0</v>
      </c>
      <c r="K55" s="21">
        <f t="shared" si="30"/>
        <v>0</v>
      </c>
      <c r="L55" s="153"/>
      <c r="M55" s="153"/>
      <c r="N55" s="153"/>
      <c r="O55" s="153"/>
      <c r="P55" s="153"/>
      <c r="Q55" s="153"/>
      <c r="R55" s="153"/>
      <c r="S55" s="153"/>
      <c r="T55" s="153">
        <v>0</v>
      </c>
      <c r="U55" s="153">
        <v>0</v>
      </c>
      <c r="V55" s="153">
        <v>0</v>
      </c>
      <c r="W55" s="153">
        <v>0</v>
      </c>
      <c r="X55" s="21">
        <f t="shared" si="31"/>
        <v>0</v>
      </c>
    </row>
    <row r="56" spans="1:24" x14ac:dyDescent="0.25">
      <c r="A56" s="19" t="s">
        <v>116</v>
      </c>
      <c r="B56" s="20" t="s">
        <v>117</v>
      </c>
      <c r="C56" s="21">
        <v>60538</v>
      </c>
      <c r="D56" s="21">
        <v>0</v>
      </c>
      <c r="E56" s="139"/>
      <c r="F56" s="31">
        <f t="shared" si="28"/>
        <v>60538</v>
      </c>
      <c r="G56" s="152"/>
      <c r="H56" s="153"/>
      <c r="I56" s="155"/>
      <c r="J56" s="100">
        <f t="shared" si="29"/>
        <v>0</v>
      </c>
      <c r="K56" s="21">
        <f t="shared" si="30"/>
        <v>0</v>
      </c>
      <c r="L56" s="153"/>
      <c r="M56" s="153"/>
      <c r="N56" s="153"/>
      <c r="O56" s="153"/>
      <c r="P56" s="153"/>
      <c r="Q56" s="153"/>
      <c r="R56" s="153"/>
      <c r="S56" s="153"/>
      <c r="T56" s="153">
        <v>0</v>
      </c>
      <c r="U56" s="153">
        <v>0</v>
      </c>
      <c r="V56" s="153">
        <v>0</v>
      </c>
      <c r="W56" s="153">
        <v>0</v>
      </c>
      <c r="X56" s="21">
        <f t="shared" si="31"/>
        <v>60538</v>
      </c>
    </row>
    <row r="57" spans="1:24" x14ac:dyDescent="0.25">
      <c r="A57" s="19" t="s">
        <v>237</v>
      </c>
      <c r="B57" s="20" t="s">
        <v>238</v>
      </c>
      <c r="C57" s="21">
        <v>0</v>
      </c>
      <c r="D57" s="21">
        <v>0</v>
      </c>
      <c r="E57" s="139"/>
      <c r="F57" s="31">
        <f t="shared" ref="F57" si="32">C57+D57</f>
        <v>0</v>
      </c>
      <c r="G57" s="152"/>
      <c r="H57" s="153"/>
      <c r="I57" s="155"/>
      <c r="J57" s="100">
        <f t="shared" ref="J57" si="33">G57+H57</f>
        <v>0</v>
      </c>
      <c r="K57" s="21">
        <f t="shared" ref="K57" si="34">SUM(L57:W57)</f>
        <v>0</v>
      </c>
      <c r="L57" s="153"/>
      <c r="M57" s="153"/>
      <c r="N57" s="153"/>
      <c r="O57" s="153"/>
      <c r="P57" s="153"/>
      <c r="Q57" s="153"/>
      <c r="R57" s="153"/>
      <c r="S57" s="153"/>
      <c r="T57" s="153">
        <v>0</v>
      </c>
      <c r="U57" s="153">
        <v>0</v>
      </c>
      <c r="V57" s="153">
        <v>0</v>
      </c>
      <c r="W57" s="153">
        <v>0</v>
      </c>
      <c r="X57" s="21">
        <f t="shared" ref="X57" si="35">F57-(J57+K57)</f>
        <v>0</v>
      </c>
    </row>
    <row r="58" spans="1:24" x14ac:dyDescent="0.25">
      <c r="A58" s="19" t="s">
        <v>118</v>
      </c>
      <c r="B58" s="20" t="s">
        <v>119</v>
      </c>
      <c r="C58" s="21">
        <v>135345</v>
      </c>
      <c r="D58" s="21">
        <f>3000+1320+115+2500</f>
        <v>6935</v>
      </c>
      <c r="E58" s="139" t="s">
        <v>308</v>
      </c>
      <c r="F58" s="31">
        <f t="shared" si="28"/>
        <v>142280</v>
      </c>
      <c r="G58" s="152"/>
      <c r="H58" s="153"/>
      <c r="I58" s="155"/>
      <c r="J58" s="100">
        <f t="shared" si="29"/>
        <v>0</v>
      </c>
      <c r="K58" s="21">
        <f t="shared" si="30"/>
        <v>0</v>
      </c>
      <c r="L58" s="153"/>
      <c r="M58" s="153"/>
      <c r="N58" s="153"/>
      <c r="O58" s="153"/>
      <c r="P58" s="153"/>
      <c r="Q58" s="153"/>
      <c r="R58" s="153"/>
      <c r="S58" s="153"/>
      <c r="T58" s="153">
        <v>0</v>
      </c>
      <c r="U58" s="153">
        <v>0</v>
      </c>
      <c r="V58" s="153">
        <v>0</v>
      </c>
      <c r="W58" s="153">
        <v>0</v>
      </c>
      <c r="X58" s="21">
        <f t="shared" si="31"/>
        <v>142280</v>
      </c>
    </row>
    <row r="59" spans="1:24" x14ac:dyDescent="0.25">
      <c r="A59" s="104" t="s">
        <v>120</v>
      </c>
      <c r="B59" s="102" t="s">
        <v>121</v>
      </c>
      <c r="C59" s="106"/>
      <c r="D59" s="106"/>
      <c r="E59" s="106"/>
      <c r="F59" s="107"/>
      <c r="G59" s="108"/>
      <c r="H59" s="106"/>
      <c r="I59" s="109"/>
      <c r="J59" s="100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x14ac:dyDescent="0.25">
      <c r="A60" s="19" t="s">
        <v>122</v>
      </c>
      <c r="B60" s="20" t="s">
        <v>123</v>
      </c>
      <c r="C60" s="21">
        <v>24458</v>
      </c>
      <c r="D60" s="21">
        <f>1479.34+115+163</f>
        <v>1757.34</v>
      </c>
      <c r="E60" s="139" t="s">
        <v>310</v>
      </c>
      <c r="F60" s="31">
        <f>C60+D60</f>
        <v>26215.34</v>
      </c>
      <c r="G60" s="152"/>
      <c r="H60" s="153"/>
      <c r="I60" s="155"/>
      <c r="J60" s="100">
        <f>G60+H60</f>
        <v>0</v>
      </c>
      <c r="K60" s="21">
        <f>SUM(L60:W60)</f>
        <v>0</v>
      </c>
      <c r="L60" s="153"/>
      <c r="M60" s="153"/>
      <c r="N60" s="153"/>
      <c r="O60" s="153"/>
      <c r="P60" s="153"/>
      <c r="Q60" s="153"/>
      <c r="R60" s="153"/>
      <c r="S60" s="153"/>
      <c r="T60" s="153">
        <v>0</v>
      </c>
      <c r="U60" s="153">
        <v>0</v>
      </c>
      <c r="V60" s="153">
        <v>0</v>
      </c>
      <c r="W60" s="153">
        <v>0</v>
      </c>
      <c r="X60" s="21">
        <f>F60-(J60+K60)</f>
        <v>26215.34</v>
      </c>
    </row>
    <row r="61" spans="1:24" x14ac:dyDescent="0.25">
      <c r="A61" s="19" t="s">
        <v>124</v>
      </c>
      <c r="B61" s="20" t="s">
        <v>125</v>
      </c>
      <c r="C61" s="21">
        <v>12155</v>
      </c>
      <c r="D61" s="21">
        <v>-11555</v>
      </c>
      <c r="E61" s="139" t="s">
        <v>270</v>
      </c>
      <c r="F61" s="31">
        <f t="shared" ref="F61:F64" si="36">C61+D61</f>
        <v>600</v>
      </c>
      <c r="G61" s="152"/>
      <c r="H61" s="153"/>
      <c r="I61" s="155"/>
      <c r="J61" s="100">
        <f t="shared" ref="J61:J64" si="37">G61+H61</f>
        <v>0</v>
      </c>
      <c r="K61" s="21">
        <f t="shared" ref="K61:K64" si="38">SUM(L61:W61)</f>
        <v>0</v>
      </c>
      <c r="L61" s="153"/>
      <c r="M61" s="153"/>
      <c r="N61" s="153"/>
      <c r="O61" s="153"/>
      <c r="P61" s="153"/>
      <c r="Q61" s="153"/>
      <c r="R61" s="153"/>
      <c r="S61" s="153"/>
      <c r="T61" s="153">
        <v>0</v>
      </c>
      <c r="U61" s="153">
        <v>0</v>
      </c>
      <c r="V61" s="153">
        <v>0</v>
      </c>
      <c r="W61" s="153">
        <v>0</v>
      </c>
      <c r="X61" s="21">
        <f t="shared" ref="X61:X64" si="39">F61-(J61+K61)</f>
        <v>600</v>
      </c>
    </row>
    <row r="62" spans="1:24" x14ac:dyDescent="0.25">
      <c r="A62" s="19" t="s">
        <v>126</v>
      </c>
      <c r="B62" s="20" t="s">
        <v>240</v>
      </c>
      <c r="C62" s="21">
        <v>7340</v>
      </c>
      <c r="D62" s="21">
        <f>-2603+2800</f>
        <v>197</v>
      </c>
      <c r="E62" s="139" t="s">
        <v>309</v>
      </c>
      <c r="F62" s="31">
        <f t="shared" si="36"/>
        <v>7537</v>
      </c>
      <c r="G62" s="152"/>
      <c r="H62" s="153"/>
      <c r="I62" s="155"/>
      <c r="J62" s="100">
        <f t="shared" si="37"/>
        <v>0</v>
      </c>
      <c r="K62" s="21">
        <f t="shared" si="38"/>
        <v>0</v>
      </c>
      <c r="L62" s="153"/>
      <c r="M62" s="153"/>
      <c r="N62" s="153"/>
      <c r="O62" s="153"/>
      <c r="P62" s="153"/>
      <c r="Q62" s="153"/>
      <c r="R62" s="153"/>
      <c r="S62" s="153"/>
      <c r="T62" s="153">
        <v>0</v>
      </c>
      <c r="U62" s="153">
        <v>0</v>
      </c>
      <c r="V62" s="153">
        <v>0</v>
      </c>
      <c r="W62" s="153">
        <v>0</v>
      </c>
      <c r="X62" s="21">
        <f t="shared" si="39"/>
        <v>7537</v>
      </c>
    </row>
    <row r="63" spans="1:24" x14ac:dyDescent="0.25">
      <c r="A63" s="19" t="s">
        <v>127</v>
      </c>
      <c r="B63" s="20" t="s">
        <v>128</v>
      </c>
      <c r="C63" s="21">
        <v>3694</v>
      </c>
      <c r="D63" s="21">
        <v>0</v>
      </c>
      <c r="E63" s="139"/>
      <c r="F63" s="31">
        <f t="shared" si="36"/>
        <v>3694</v>
      </c>
      <c r="G63" s="152"/>
      <c r="H63" s="153"/>
      <c r="I63" s="155"/>
      <c r="J63" s="100">
        <f t="shared" si="37"/>
        <v>0</v>
      </c>
      <c r="K63" s="21">
        <f t="shared" si="38"/>
        <v>0</v>
      </c>
      <c r="L63" s="153"/>
      <c r="M63" s="153"/>
      <c r="N63" s="153"/>
      <c r="O63" s="153"/>
      <c r="P63" s="153"/>
      <c r="Q63" s="153"/>
      <c r="R63" s="153"/>
      <c r="S63" s="153"/>
      <c r="T63" s="153">
        <v>0</v>
      </c>
      <c r="U63" s="153">
        <v>0</v>
      </c>
      <c r="V63" s="153">
        <v>0</v>
      </c>
      <c r="W63" s="153">
        <v>0</v>
      </c>
      <c r="X63" s="21">
        <f t="shared" si="39"/>
        <v>3694</v>
      </c>
    </row>
    <row r="64" spans="1:24" x14ac:dyDescent="0.25">
      <c r="A64" s="19" t="s">
        <v>129</v>
      </c>
      <c r="B64" s="20" t="s">
        <v>239</v>
      </c>
      <c r="C64" s="21">
        <v>28438</v>
      </c>
      <c r="D64" s="21">
        <v>0</v>
      </c>
      <c r="E64" s="139"/>
      <c r="F64" s="31">
        <f t="shared" si="36"/>
        <v>28438</v>
      </c>
      <c r="G64" s="152"/>
      <c r="H64" s="153"/>
      <c r="I64" s="155"/>
      <c r="J64" s="100">
        <f t="shared" si="37"/>
        <v>0</v>
      </c>
      <c r="K64" s="21">
        <f t="shared" si="38"/>
        <v>0</v>
      </c>
      <c r="L64" s="153"/>
      <c r="M64" s="153"/>
      <c r="N64" s="153"/>
      <c r="O64" s="153"/>
      <c r="P64" s="153"/>
      <c r="Q64" s="153"/>
      <c r="R64" s="153"/>
      <c r="S64" s="153"/>
      <c r="T64" s="153">
        <v>0</v>
      </c>
      <c r="U64" s="153">
        <v>0</v>
      </c>
      <c r="V64" s="153">
        <v>0</v>
      </c>
      <c r="W64" s="153">
        <v>0</v>
      </c>
      <c r="X64" s="21">
        <f t="shared" si="39"/>
        <v>28438</v>
      </c>
    </row>
    <row r="65" spans="1:24" x14ac:dyDescent="0.25">
      <c r="A65" s="104" t="s">
        <v>130</v>
      </c>
      <c r="B65" s="102" t="s">
        <v>131</v>
      </c>
      <c r="C65" s="106"/>
      <c r="D65" s="106"/>
      <c r="E65" s="106"/>
      <c r="F65" s="107"/>
      <c r="G65" s="108"/>
      <c r="H65" s="106"/>
      <c r="I65" s="109"/>
      <c r="J65" s="100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</row>
    <row r="66" spans="1:24" x14ac:dyDescent="0.25">
      <c r="A66" s="19" t="s">
        <v>132</v>
      </c>
      <c r="B66" s="20" t="s">
        <v>241</v>
      </c>
      <c r="C66" s="21">
        <v>49697</v>
      </c>
      <c r="D66" s="21">
        <v>0</v>
      </c>
      <c r="E66" s="139"/>
      <c r="F66" s="31">
        <f>C66+D66</f>
        <v>49697</v>
      </c>
      <c r="G66" s="152"/>
      <c r="H66" s="153"/>
      <c r="I66" s="155"/>
      <c r="J66" s="100">
        <f>G66+H66</f>
        <v>0</v>
      </c>
      <c r="K66" s="21">
        <f>SUM(L66:W66)</f>
        <v>0</v>
      </c>
      <c r="L66" s="153"/>
      <c r="M66" s="153"/>
      <c r="N66" s="153"/>
      <c r="O66" s="153"/>
      <c r="P66" s="153"/>
      <c r="Q66" s="153"/>
      <c r="R66" s="153"/>
      <c r="S66" s="153"/>
      <c r="T66" s="153">
        <v>0</v>
      </c>
      <c r="U66" s="153">
        <v>0</v>
      </c>
      <c r="V66" s="153">
        <v>0</v>
      </c>
      <c r="W66" s="153">
        <v>0</v>
      </c>
      <c r="X66" s="21">
        <f>F66-(K66+J66)</f>
        <v>49697</v>
      </c>
    </row>
    <row r="67" spans="1:24" x14ac:dyDescent="0.25">
      <c r="A67" s="19" t="s">
        <v>133</v>
      </c>
      <c r="B67" s="20" t="s">
        <v>13</v>
      </c>
      <c r="C67" s="21">
        <v>3294</v>
      </c>
      <c r="D67" s="21">
        <v>0</v>
      </c>
      <c r="E67" s="139"/>
      <c r="F67" s="31">
        <f>C67+D67</f>
        <v>3294</v>
      </c>
      <c r="G67" s="152"/>
      <c r="H67" s="153"/>
      <c r="I67" s="155"/>
      <c r="J67" s="100">
        <f>G67+H67</f>
        <v>0</v>
      </c>
      <c r="K67" s="21">
        <f>SUM(L67:W67)</f>
        <v>0</v>
      </c>
      <c r="L67" s="153"/>
      <c r="M67" s="153"/>
      <c r="N67" s="153"/>
      <c r="O67" s="153"/>
      <c r="P67" s="153"/>
      <c r="Q67" s="153"/>
      <c r="R67" s="153"/>
      <c r="S67" s="153"/>
      <c r="T67" s="153">
        <v>0</v>
      </c>
      <c r="U67" s="153">
        <v>0</v>
      </c>
      <c r="V67" s="153">
        <v>0</v>
      </c>
      <c r="W67" s="153">
        <v>0</v>
      </c>
      <c r="X67" s="21">
        <f>F67-(K67+J67)</f>
        <v>3294</v>
      </c>
    </row>
    <row r="68" spans="1:24" x14ac:dyDescent="0.25">
      <c r="A68" s="104" t="s">
        <v>134</v>
      </c>
      <c r="B68" s="102" t="s">
        <v>135</v>
      </c>
      <c r="C68" s="106"/>
      <c r="D68" s="106"/>
      <c r="E68" s="106"/>
      <c r="F68" s="107"/>
      <c r="G68" s="108"/>
      <c r="H68" s="106"/>
      <c r="I68" s="109"/>
      <c r="J68" s="100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</row>
    <row r="69" spans="1:24" x14ac:dyDescent="0.25">
      <c r="A69" s="19" t="s">
        <v>136</v>
      </c>
      <c r="B69" s="20" t="s">
        <v>137</v>
      </c>
      <c r="C69" s="21">
        <v>0</v>
      </c>
      <c r="D69" s="21">
        <v>0</v>
      </c>
      <c r="E69" s="139"/>
      <c r="F69" s="31">
        <f>C69+D69</f>
        <v>0</v>
      </c>
      <c r="G69" s="152"/>
      <c r="H69" s="153"/>
      <c r="I69" s="155"/>
      <c r="J69" s="100">
        <f>G69+H69</f>
        <v>0</v>
      </c>
      <c r="K69" s="21">
        <f>SUM(L69:W69)</f>
        <v>0</v>
      </c>
      <c r="L69" s="153"/>
      <c r="M69" s="153"/>
      <c r="N69" s="153"/>
      <c r="O69" s="153"/>
      <c r="P69" s="153"/>
      <c r="Q69" s="153"/>
      <c r="R69" s="153"/>
      <c r="S69" s="153"/>
      <c r="T69" s="153">
        <v>0</v>
      </c>
      <c r="U69" s="153">
        <v>0</v>
      </c>
      <c r="V69" s="153">
        <v>0</v>
      </c>
      <c r="W69" s="153">
        <v>0</v>
      </c>
      <c r="X69" s="21">
        <f>F69-(J69+K69)</f>
        <v>0</v>
      </c>
    </row>
    <row r="70" spans="1:24" x14ac:dyDescent="0.25">
      <c r="A70" s="104" t="s">
        <v>138</v>
      </c>
      <c r="B70" s="102" t="s">
        <v>139</v>
      </c>
      <c r="C70" s="106"/>
      <c r="D70" s="106"/>
      <c r="E70" s="106"/>
      <c r="F70" s="107"/>
      <c r="G70" s="108"/>
      <c r="H70" s="106"/>
      <c r="I70" s="109"/>
      <c r="J70" s="100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</row>
    <row r="71" spans="1:24" x14ac:dyDescent="0.25">
      <c r="A71" s="19" t="s">
        <v>242</v>
      </c>
      <c r="B71" s="20" t="s">
        <v>243</v>
      </c>
      <c r="C71" s="21">
        <v>9291</v>
      </c>
      <c r="D71" s="21">
        <v>0</v>
      </c>
      <c r="E71" s="139"/>
      <c r="F71" s="31">
        <f>C71+D71</f>
        <v>9291</v>
      </c>
      <c r="G71" s="152"/>
      <c r="H71" s="153"/>
      <c r="I71" s="155"/>
      <c r="J71" s="100">
        <f>G71+H71</f>
        <v>0</v>
      </c>
      <c r="K71" s="21">
        <f>SUM(L71:W71)</f>
        <v>0</v>
      </c>
      <c r="L71" s="153"/>
      <c r="M71" s="153"/>
      <c r="N71" s="153"/>
      <c r="O71" s="153"/>
      <c r="P71" s="153"/>
      <c r="Q71" s="153"/>
      <c r="R71" s="153"/>
      <c r="S71" s="153"/>
      <c r="T71" s="153">
        <v>0</v>
      </c>
      <c r="U71" s="153">
        <v>0</v>
      </c>
      <c r="V71" s="153">
        <v>0</v>
      </c>
      <c r="W71" s="153">
        <v>0</v>
      </c>
      <c r="X71" s="21">
        <f>F71-(J71+K71)</f>
        <v>9291</v>
      </c>
    </row>
    <row r="72" spans="1:24" x14ac:dyDescent="0.25">
      <c r="A72" s="104" t="s">
        <v>140</v>
      </c>
      <c r="B72" s="102" t="s">
        <v>141</v>
      </c>
      <c r="C72" s="106"/>
      <c r="D72" s="106"/>
      <c r="E72" s="106"/>
      <c r="F72" s="107"/>
      <c r="G72" s="108"/>
      <c r="H72" s="106"/>
      <c r="I72" s="109"/>
      <c r="J72" s="100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</row>
    <row r="73" spans="1:24" x14ac:dyDescent="0.25">
      <c r="A73" s="104" t="s">
        <v>142</v>
      </c>
      <c r="B73" s="102" t="s">
        <v>143</v>
      </c>
      <c r="C73" s="106"/>
      <c r="D73" s="106"/>
      <c r="E73" s="106"/>
      <c r="F73" s="107"/>
      <c r="G73" s="108"/>
      <c r="H73" s="106"/>
      <c r="I73" s="109"/>
      <c r="J73" s="100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</row>
    <row r="74" spans="1:24" x14ac:dyDescent="0.25">
      <c r="A74" s="19" t="s">
        <v>144</v>
      </c>
      <c r="B74" s="20" t="s">
        <v>143</v>
      </c>
      <c r="C74" s="21">
        <v>23770</v>
      </c>
      <c r="D74" s="21">
        <f>1050+650</f>
        <v>1700</v>
      </c>
      <c r="E74" s="139" t="s">
        <v>316</v>
      </c>
      <c r="F74" s="31">
        <f>C74+D74</f>
        <v>25470</v>
      </c>
      <c r="G74" s="152"/>
      <c r="H74" s="153"/>
      <c r="I74" s="155"/>
      <c r="J74" s="100">
        <f>G74+H74</f>
        <v>0</v>
      </c>
      <c r="K74" s="21">
        <f>SUM(L74:W74)</f>
        <v>5200</v>
      </c>
      <c r="L74" s="153"/>
      <c r="M74" s="153"/>
      <c r="N74" s="153"/>
      <c r="O74" s="153"/>
      <c r="P74" s="153"/>
      <c r="Q74" s="153"/>
      <c r="R74" s="153"/>
      <c r="S74" s="153"/>
      <c r="T74" s="153">
        <v>0</v>
      </c>
      <c r="U74" s="153">
        <v>2700</v>
      </c>
      <c r="V74" s="153">
        <v>2500</v>
      </c>
      <c r="W74" s="153">
        <v>0</v>
      </c>
      <c r="X74" s="21">
        <f>F74-(J74+K74)</f>
        <v>20270</v>
      </c>
    </row>
    <row r="75" spans="1:24" x14ac:dyDescent="0.25">
      <c r="A75" s="19" t="s">
        <v>244</v>
      </c>
      <c r="B75" s="20" t="s">
        <v>245</v>
      </c>
      <c r="C75" s="21">
        <v>0</v>
      </c>
      <c r="D75" s="21">
        <f>3932.25+1653.15</f>
        <v>5585.4</v>
      </c>
      <c r="E75" s="139" t="s">
        <v>315</v>
      </c>
      <c r="F75" s="31">
        <f>C75+D75</f>
        <v>5585.4</v>
      </c>
      <c r="G75" s="152"/>
      <c r="H75" s="153"/>
      <c r="I75" s="155"/>
      <c r="J75" s="100">
        <f>G75+H75</f>
        <v>0</v>
      </c>
      <c r="K75" s="21">
        <f>SUM(L75:W75)</f>
        <v>0</v>
      </c>
      <c r="L75" s="153"/>
      <c r="M75" s="153"/>
      <c r="N75" s="153"/>
      <c r="O75" s="153"/>
      <c r="P75" s="153"/>
      <c r="Q75" s="153"/>
      <c r="R75" s="153"/>
      <c r="S75" s="153"/>
      <c r="T75" s="153">
        <v>0</v>
      </c>
      <c r="U75" s="153">
        <v>0</v>
      </c>
      <c r="V75" s="153">
        <v>0</v>
      </c>
      <c r="W75" s="153">
        <v>0</v>
      </c>
      <c r="X75" s="21">
        <f>F75-(J75+K75)</f>
        <v>5585.4</v>
      </c>
    </row>
    <row r="76" spans="1:24" x14ac:dyDescent="0.25">
      <c r="A76" s="19" t="s">
        <v>145</v>
      </c>
      <c r="B76" s="20" t="s">
        <v>146</v>
      </c>
      <c r="C76" s="21">
        <v>25834</v>
      </c>
      <c r="D76" s="21">
        <v>3364</v>
      </c>
      <c r="E76" s="139" t="s">
        <v>262</v>
      </c>
      <c r="F76" s="31">
        <f>C76+D76</f>
        <v>29198</v>
      </c>
      <c r="G76" s="152">
        <f>5956.24-K76</f>
        <v>0.23999999999978172</v>
      </c>
      <c r="H76" s="153"/>
      <c r="I76" s="155"/>
      <c r="J76" s="100">
        <f>G76+H76</f>
        <v>0.23999999999978172</v>
      </c>
      <c r="K76" s="21">
        <f>SUM(L76:W76)</f>
        <v>5956</v>
      </c>
      <c r="L76" s="153"/>
      <c r="M76" s="153"/>
      <c r="N76" s="153"/>
      <c r="O76" s="153"/>
      <c r="P76" s="153"/>
      <c r="Q76" s="153"/>
      <c r="R76" s="153"/>
      <c r="S76" s="153"/>
      <c r="T76" s="153">
        <v>5053</v>
      </c>
      <c r="U76" s="153">
        <v>903</v>
      </c>
      <c r="V76" s="153">
        <v>0</v>
      </c>
      <c r="W76" s="153">
        <v>0</v>
      </c>
      <c r="X76" s="21">
        <f>F76-(J76+K76)</f>
        <v>23241.760000000002</v>
      </c>
    </row>
    <row r="77" spans="1:24" x14ac:dyDescent="0.25">
      <c r="A77" s="104" t="s">
        <v>147</v>
      </c>
      <c r="B77" s="102" t="s">
        <v>148</v>
      </c>
      <c r="C77" s="106"/>
      <c r="D77" s="106"/>
      <c r="E77" s="106"/>
      <c r="F77" s="107"/>
      <c r="G77" s="152"/>
      <c r="H77" s="153"/>
      <c r="I77" s="155"/>
      <c r="J77" s="100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</row>
    <row r="78" spans="1:24" x14ac:dyDescent="0.25">
      <c r="A78" s="19" t="s">
        <v>149</v>
      </c>
      <c r="B78" s="20" t="s">
        <v>148</v>
      </c>
      <c r="C78" s="21">
        <v>16402</v>
      </c>
      <c r="D78" s="21">
        <v>0</v>
      </c>
      <c r="E78" s="139"/>
      <c r="F78" s="31">
        <f>C78+D78</f>
        <v>16402</v>
      </c>
      <c r="G78" s="152">
        <f>7862.59-K78</f>
        <v>-0.40999999999985448</v>
      </c>
      <c r="H78" s="153"/>
      <c r="I78" s="155"/>
      <c r="J78" s="100">
        <f>G78+H78</f>
        <v>-0.40999999999985448</v>
      </c>
      <c r="K78" s="21">
        <f>SUM(L78:W78)</f>
        <v>7863</v>
      </c>
      <c r="L78" s="153"/>
      <c r="M78" s="153"/>
      <c r="N78" s="153"/>
      <c r="O78" s="153"/>
      <c r="P78" s="153"/>
      <c r="Q78" s="153"/>
      <c r="R78" s="153"/>
      <c r="S78" s="153"/>
      <c r="T78" s="153">
        <v>0</v>
      </c>
      <c r="U78" s="153">
        <v>4650</v>
      </c>
      <c r="V78" s="153">
        <v>3000</v>
      </c>
      <c r="W78" s="153">
        <v>213</v>
      </c>
      <c r="X78" s="21">
        <f>F78-(J78+K78)</f>
        <v>8539.41</v>
      </c>
    </row>
    <row r="79" spans="1:24" x14ac:dyDescent="0.25">
      <c r="A79" s="19" t="s">
        <v>150</v>
      </c>
      <c r="B79" s="20" t="s">
        <v>151</v>
      </c>
      <c r="C79" s="21">
        <v>4450</v>
      </c>
      <c r="D79" s="21">
        <v>100</v>
      </c>
      <c r="E79" s="139" t="s">
        <v>263</v>
      </c>
      <c r="F79" s="31">
        <f>C79+D79</f>
        <v>4550</v>
      </c>
      <c r="G79" s="152"/>
      <c r="H79" s="153"/>
      <c r="I79" s="155"/>
      <c r="J79" s="100">
        <f>G79+H79</f>
        <v>0</v>
      </c>
      <c r="K79" s="21">
        <f>SUM(L79:W79)</f>
        <v>0</v>
      </c>
      <c r="L79" s="153"/>
      <c r="M79" s="153"/>
      <c r="N79" s="153"/>
      <c r="O79" s="153"/>
      <c r="P79" s="153"/>
      <c r="Q79" s="153"/>
      <c r="R79" s="153"/>
      <c r="S79" s="153"/>
      <c r="T79" s="153">
        <v>0</v>
      </c>
      <c r="U79" s="153">
        <v>0</v>
      </c>
      <c r="V79" s="153">
        <v>0</v>
      </c>
      <c r="W79" s="153">
        <v>0</v>
      </c>
      <c r="X79" s="21">
        <f>F79-(J79+K79)</f>
        <v>4550</v>
      </c>
    </row>
    <row r="80" spans="1:24" x14ac:dyDescent="0.25">
      <c r="A80" s="104" t="s">
        <v>152</v>
      </c>
      <c r="B80" s="102" t="s">
        <v>153</v>
      </c>
      <c r="C80" s="106"/>
      <c r="D80" s="106"/>
      <c r="E80" s="106"/>
      <c r="F80" s="107"/>
      <c r="G80" s="108"/>
      <c r="H80" s="106"/>
      <c r="I80" s="109"/>
      <c r="J80" s="100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</row>
    <row r="81" spans="1:24" x14ac:dyDescent="0.25">
      <c r="A81" s="19" t="s">
        <v>154</v>
      </c>
      <c r="B81" s="20" t="s">
        <v>153</v>
      </c>
      <c r="C81" s="21">
        <v>47805</v>
      </c>
      <c r="D81" s="21">
        <f>940+5280</f>
        <v>6220</v>
      </c>
      <c r="E81" s="139" t="s">
        <v>306</v>
      </c>
      <c r="F81" s="31">
        <f>C81+D81</f>
        <v>54025</v>
      </c>
      <c r="G81" s="152">
        <f>3590-K81</f>
        <v>-10000</v>
      </c>
      <c r="H81" s="153">
        <v>38867</v>
      </c>
      <c r="I81" s="155" t="s">
        <v>318</v>
      </c>
      <c r="J81" s="100">
        <f>G81+H81</f>
        <v>28867</v>
      </c>
      <c r="K81" s="21">
        <f>SUM(L81:W81)</f>
        <v>13590</v>
      </c>
      <c r="L81" s="153"/>
      <c r="M81" s="153"/>
      <c r="N81" s="153"/>
      <c r="O81" s="153"/>
      <c r="P81" s="153"/>
      <c r="Q81" s="153"/>
      <c r="R81" s="153"/>
      <c r="S81" s="153"/>
      <c r="T81" s="153">
        <v>10000</v>
      </c>
      <c r="U81" s="153">
        <v>0</v>
      </c>
      <c r="V81" s="153">
        <v>980</v>
      </c>
      <c r="W81" s="153">
        <v>2610</v>
      </c>
      <c r="X81" s="21">
        <f>F81-(J81+K81)</f>
        <v>11568</v>
      </c>
    </row>
    <row r="82" spans="1:24" x14ac:dyDescent="0.25">
      <c r="A82" s="19" t="s">
        <v>155</v>
      </c>
      <c r="B82" s="20" t="s">
        <v>156</v>
      </c>
      <c r="C82" s="21">
        <v>67119</v>
      </c>
      <c r="D82" s="21">
        <v>2889</v>
      </c>
      <c r="E82" s="139" t="s">
        <v>264</v>
      </c>
      <c r="F82" s="31">
        <f t="shared" ref="F82:F83" si="40">C82+D82</f>
        <v>70008</v>
      </c>
      <c r="G82" s="152"/>
      <c r="H82" s="153"/>
      <c r="I82" s="155"/>
      <c r="J82" s="100">
        <f t="shared" ref="J82:J83" si="41">G82+H82</f>
        <v>0</v>
      </c>
      <c r="K82" s="21">
        <f t="shared" ref="K82:K83" si="42">SUM(L82:W82)</f>
        <v>0</v>
      </c>
      <c r="L82" s="153"/>
      <c r="M82" s="153"/>
      <c r="N82" s="153"/>
      <c r="O82" s="153"/>
      <c r="P82" s="153"/>
      <c r="Q82" s="153"/>
      <c r="R82" s="153"/>
      <c r="S82" s="153"/>
      <c r="T82" s="153">
        <v>0</v>
      </c>
      <c r="U82" s="153">
        <v>0</v>
      </c>
      <c r="V82" s="153">
        <v>0</v>
      </c>
      <c r="W82" s="153">
        <v>0</v>
      </c>
      <c r="X82" s="21">
        <f t="shared" ref="X82:X83" si="43">F82-(J82+K82)</f>
        <v>70008</v>
      </c>
    </row>
    <row r="83" spans="1:24" x14ac:dyDescent="0.25">
      <c r="A83" s="19" t="s">
        <v>157</v>
      </c>
      <c r="B83" s="20" t="s">
        <v>158</v>
      </c>
      <c r="C83" s="21">
        <v>0</v>
      </c>
      <c r="D83" s="21">
        <v>19298.330000000002</v>
      </c>
      <c r="E83" s="139" t="s">
        <v>305</v>
      </c>
      <c r="F83" s="31">
        <f t="shared" si="40"/>
        <v>19298.330000000002</v>
      </c>
      <c r="G83" s="152"/>
      <c r="H83" s="153"/>
      <c r="I83" s="155"/>
      <c r="J83" s="100">
        <f t="shared" si="41"/>
        <v>0</v>
      </c>
      <c r="K83" s="21">
        <f t="shared" si="42"/>
        <v>0</v>
      </c>
      <c r="L83" s="153"/>
      <c r="M83" s="153"/>
      <c r="N83" s="153"/>
      <c r="O83" s="153"/>
      <c r="P83" s="153"/>
      <c r="Q83" s="153"/>
      <c r="R83" s="153"/>
      <c r="S83" s="153"/>
      <c r="T83" s="153">
        <v>0</v>
      </c>
      <c r="U83" s="153">
        <v>0</v>
      </c>
      <c r="V83" s="153">
        <v>0</v>
      </c>
      <c r="W83" s="153">
        <v>0</v>
      </c>
      <c r="X83" s="21">
        <f t="shared" si="43"/>
        <v>19298.330000000002</v>
      </c>
    </row>
    <row r="84" spans="1:24" x14ac:dyDescent="0.25">
      <c r="A84" s="104" t="s">
        <v>159</v>
      </c>
      <c r="B84" s="102" t="s">
        <v>160</v>
      </c>
      <c r="C84" s="106"/>
      <c r="D84" s="106"/>
      <c r="E84" s="106"/>
      <c r="F84" s="107"/>
      <c r="G84" s="108"/>
      <c r="H84" s="106"/>
      <c r="I84" s="109"/>
      <c r="J84" s="100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</row>
    <row r="85" spans="1:24" x14ac:dyDescent="0.25">
      <c r="A85" s="19" t="s">
        <v>161</v>
      </c>
      <c r="B85" s="20" t="s">
        <v>248</v>
      </c>
      <c r="C85" s="21">
        <v>56029</v>
      </c>
      <c r="D85" s="21">
        <v>0</v>
      </c>
      <c r="E85" s="139"/>
      <c r="F85" s="31">
        <f>C85+D85</f>
        <v>56029</v>
      </c>
      <c r="G85" s="152">
        <f>10434-K85</f>
        <v>0</v>
      </c>
      <c r="H85" s="153"/>
      <c r="I85" s="155"/>
      <c r="J85" s="100">
        <f>G85+H85</f>
        <v>0</v>
      </c>
      <c r="K85" s="21">
        <f>SUM(L85:W85)</f>
        <v>10434</v>
      </c>
      <c r="L85" s="153"/>
      <c r="M85" s="153"/>
      <c r="N85" s="153"/>
      <c r="O85" s="153"/>
      <c r="P85" s="153"/>
      <c r="Q85" s="153"/>
      <c r="R85" s="153"/>
      <c r="S85" s="153"/>
      <c r="T85" s="153">
        <v>0</v>
      </c>
      <c r="U85" s="153">
        <v>0</v>
      </c>
      <c r="V85" s="153">
        <v>0</v>
      </c>
      <c r="W85" s="153">
        <v>10434</v>
      </c>
      <c r="X85" s="21">
        <f>F85-(J85+K85)</f>
        <v>45595</v>
      </c>
    </row>
    <row r="86" spans="1:24" x14ac:dyDescent="0.25">
      <c r="A86" s="104" t="s">
        <v>162</v>
      </c>
      <c r="B86" s="102" t="s">
        <v>163</v>
      </c>
      <c r="C86" s="106"/>
      <c r="D86" s="106"/>
      <c r="E86" s="106"/>
      <c r="F86" s="107"/>
      <c r="G86" s="108"/>
      <c r="H86" s="106"/>
      <c r="I86" s="109"/>
      <c r="J86" s="100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</row>
    <row r="87" spans="1:24" x14ac:dyDescent="0.25">
      <c r="A87" s="19" t="s">
        <v>164</v>
      </c>
      <c r="B87" s="20" t="s">
        <v>165</v>
      </c>
      <c r="C87" s="21">
        <v>2750</v>
      </c>
      <c r="D87" s="21">
        <v>0</v>
      </c>
      <c r="E87" s="139"/>
      <c r="F87" s="31">
        <f>C87+D87</f>
        <v>2750</v>
      </c>
      <c r="G87" s="152"/>
      <c r="H87" s="153"/>
      <c r="I87" s="155"/>
      <c r="J87" s="100">
        <f>G87+H87</f>
        <v>0</v>
      </c>
      <c r="K87" s="21">
        <f>SUM(L87:W87)</f>
        <v>0</v>
      </c>
      <c r="L87" s="153"/>
      <c r="M87" s="153"/>
      <c r="N87" s="153"/>
      <c r="O87" s="153"/>
      <c r="P87" s="153"/>
      <c r="Q87" s="153"/>
      <c r="R87" s="153"/>
      <c r="S87" s="153"/>
      <c r="T87" s="153">
        <v>0</v>
      </c>
      <c r="U87" s="153">
        <v>0</v>
      </c>
      <c r="V87" s="153">
        <v>0</v>
      </c>
      <c r="W87" s="153">
        <v>0</v>
      </c>
      <c r="X87" s="21">
        <f>F87-(J87+K87)</f>
        <v>2750</v>
      </c>
    </row>
    <row r="88" spans="1:24" x14ac:dyDescent="0.25">
      <c r="A88" s="19"/>
      <c r="B88" s="20"/>
      <c r="C88" s="21"/>
      <c r="D88" s="21"/>
      <c r="E88" s="139"/>
      <c r="F88" s="31"/>
      <c r="G88" s="152"/>
      <c r="H88" s="153"/>
      <c r="I88" s="155"/>
      <c r="J88" s="100"/>
      <c r="K88" s="21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21"/>
    </row>
    <row r="89" spans="1:24" x14ac:dyDescent="0.25">
      <c r="A89" s="19" t="s">
        <v>166</v>
      </c>
      <c r="B89" s="20" t="s">
        <v>167</v>
      </c>
      <c r="C89" s="21">
        <v>54188</v>
      </c>
      <c r="D89" s="21">
        <v>2250</v>
      </c>
      <c r="E89" s="139" t="s">
        <v>265</v>
      </c>
      <c r="F89" s="31">
        <f>C89+D89</f>
        <v>56438</v>
      </c>
      <c r="G89" s="152"/>
      <c r="H89" s="153"/>
      <c r="I89" s="155"/>
      <c r="J89" s="100">
        <v>0</v>
      </c>
      <c r="K89" s="21">
        <f t="shared" ref="K89:K91" si="44">SUM(L89:W89)</f>
        <v>0</v>
      </c>
      <c r="L89" s="153"/>
      <c r="M89" s="153"/>
      <c r="N89" s="153"/>
      <c r="O89" s="153"/>
      <c r="P89" s="153"/>
      <c r="Q89" s="153"/>
      <c r="R89" s="153"/>
      <c r="S89" s="153"/>
      <c r="T89" s="153">
        <v>0</v>
      </c>
      <c r="U89" s="153">
        <v>0</v>
      </c>
      <c r="V89" s="153">
        <v>0</v>
      </c>
      <c r="W89" s="153">
        <v>0</v>
      </c>
      <c r="X89" s="21">
        <f>F89-(J89+K89)</f>
        <v>56438</v>
      </c>
    </row>
    <row r="90" spans="1:24" x14ac:dyDescent="0.25">
      <c r="A90" s="19"/>
      <c r="B90" s="20" t="s">
        <v>246</v>
      </c>
      <c r="C90" s="21">
        <v>500</v>
      </c>
      <c r="D90" s="21">
        <v>0</v>
      </c>
      <c r="E90" s="139"/>
      <c r="F90" s="31">
        <f>C90+D90</f>
        <v>500</v>
      </c>
      <c r="G90" s="152"/>
      <c r="H90" s="153"/>
      <c r="I90" s="155"/>
      <c r="J90" s="100">
        <v>0</v>
      </c>
      <c r="K90" s="21">
        <f t="shared" si="44"/>
        <v>0</v>
      </c>
      <c r="L90" s="153"/>
      <c r="M90" s="153"/>
      <c r="N90" s="153"/>
      <c r="O90" s="153"/>
      <c r="P90" s="153"/>
      <c r="Q90" s="153"/>
      <c r="R90" s="153"/>
      <c r="S90" s="153"/>
      <c r="T90" s="153">
        <v>0</v>
      </c>
      <c r="U90" s="153">
        <v>0</v>
      </c>
      <c r="V90" s="153">
        <v>0</v>
      </c>
      <c r="W90" s="153">
        <v>0</v>
      </c>
      <c r="X90" s="21">
        <f>F90-(J90+K90)</f>
        <v>500</v>
      </c>
    </row>
    <row r="91" spans="1:24" x14ac:dyDescent="0.25">
      <c r="A91" s="19"/>
      <c r="B91" s="20" t="s">
        <v>168</v>
      </c>
      <c r="C91" s="21">
        <f>SUM(C13:C90)*0.18</f>
        <v>222700.13999999998</v>
      </c>
      <c r="D91" s="21">
        <f>SUM(D13:D90)*0.18</f>
        <v>15748.212599999999</v>
      </c>
      <c r="E91" s="139" t="s">
        <v>317</v>
      </c>
      <c r="F91" s="31">
        <f>SUM(F13:F90)*0.18</f>
        <v>238448.35260000001</v>
      </c>
      <c r="G91" s="152"/>
      <c r="H91" s="153"/>
      <c r="I91" s="155"/>
      <c r="J91" s="100">
        <f>SUM(J13:J89)*0.18</f>
        <v>5874.2039999999997</v>
      </c>
      <c r="K91" s="21">
        <f t="shared" si="44"/>
        <v>26765</v>
      </c>
      <c r="L91" s="153"/>
      <c r="M91" s="153"/>
      <c r="N91" s="153"/>
      <c r="O91" s="153"/>
      <c r="P91" s="153"/>
      <c r="Q91" s="153"/>
      <c r="R91" s="153"/>
      <c r="S91" s="153"/>
      <c r="T91" s="153">
        <v>4044</v>
      </c>
      <c r="U91" s="153">
        <v>5059</v>
      </c>
      <c r="V91" s="153">
        <v>5065</v>
      </c>
      <c r="W91" s="153">
        <v>12597</v>
      </c>
      <c r="X91" s="21">
        <f>F91-(J91+K91)</f>
        <v>205809.14860000001</v>
      </c>
    </row>
    <row r="92" spans="1:24" x14ac:dyDescent="0.25">
      <c r="A92" s="19"/>
      <c r="B92" s="22"/>
      <c r="C92" s="22"/>
      <c r="D92" s="22"/>
      <c r="E92" s="140"/>
      <c r="F92" s="32"/>
      <c r="G92" s="156"/>
      <c r="H92" s="157"/>
      <c r="I92" s="158"/>
      <c r="J92" s="101"/>
      <c r="K92" s="110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22"/>
    </row>
    <row r="93" spans="1:24" x14ac:dyDescent="0.25">
      <c r="A93" s="24"/>
      <c r="B93" s="20"/>
      <c r="C93" s="20"/>
      <c r="D93" s="20"/>
      <c r="E93" s="141"/>
      <c r="F93" s="33"/>
      <c r="G93" s="159"/>
      <c r="H93" s="160"/>
      <c r="I93" s="154"/>
      <c r="J93" s="102"/>
      <c r="K93" s="2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20"/>
    </row>
    <row r="94" spans="1:24" x14ac:dyDescent="0.25">
      <c r="A94" s="25"/>
      <c r="B94" s="22" t="s">
        <v>169</v>
      </c>
      <c r="C94" s="23">
        <f>SUM(C11:C92)</f>
        <v>1459923.14</v>
      </c>
      <c r="D94" s="23">
        <f>SUM(D11:D92)</f>
        <v>103238.28259999999</v>
      </c>
      <c r="E94" s="142"/>
      <c r="F94" s="167">
        <f>SUM(F13:F92)</f>
        <v>1563161.4226000002</v>
      </c>
      <c r="G94" s="161">
        <f>SUM(G11:G92)</f>
        <v>-6232.5333333333328</v>
      </c>
      <c r="H94" s="161">
        <f>SUM(H11:H92)</f>
        <v>38867</v>
      </c>
      <c r="I94" s="162">
        <f>SUM(I11:I92)</f>
        <v>0</v>
      </c>
      <c r="J94" s="103">
        <f>SUM(J11:J92)</f>
        <v>38508.670666666665</v>
      </c>
      <c r="K94" s="23">
        <f>SUM(K13:K92)</f>
        <v>175460</v>
      </c>
      <c r="L94" s="157">
        <f t="shared" ref="L94:W94" si="45">SUM(L13:L92)</f>
        <v>0</v>
      </c>
      <c r="M94" s="157">
        <f t="shared" si="45"/>
        <v>0</v>
      </c>
      <c r="N94" s="157">
        <f t="shared" si="45"/>
        <v>0</v>
      </c>
      <c r="O94" s="157">
        <f t="shared" si="45"/>
        <v>0</v>
      </c>
      <c r="P94" s="157">
        <f t="shared" si="45"/>
        <v>0</v>
      </c>
      <c r="Q94" s="157">
        <f t="shared" si="45"/>
        <v>0</v>
      </c>
      <c r="R94" s="157">
        <f t="shared" si="45"/>
        <v>0</v>
      </c>
      <c r="S94" s="157">
        <f t="shared" si="45"/>
        <v>0</v>
      </c>
      <c r="T94" s="157">
        <f t="shared" si="45"/>
        <v>26510</v>
      </c>
      <c r="U94" s="157">
        <f t="shared" si="45"/>
        <v>33164</v>
      </c>
      <c r="V94" s="157">
        <f>SUM(V13:V92)</f>
        <v>33202</v>
      </c>
      <c r="W94" s="157">
        <f t="shared" si="45"/>
        <v>82584</v>
      </c>
      <c r="X94" s="23">
        <f>SUM(X13:X92)</f>
        <v>1349192.7519333332</v>
      </c>
    </row>
    <row r="95" spans="1:24" x14ac:dyDescent="0.25">
      <c r="T95" s="169">
        <v>26510</v>
      </c>
      <c r="U95" s="169">
        <v>33164</v>
      </c>
      <c r="V95" s="169">
        <v>33202</v>
      </c>
      <c r="W95" s="169">
        <v>82583</v>
      </c>
    </row>
    <row r="96" spans="1:24" hidden="1" x14ac:dyDescent="0.25">
      <c r="D96" t="s">
        <v>294</v>
      </c>
    </row>
    <row r="97" spans="4:5" x14ac:dyDescent="0.25">
      <c r="D97" s="26"/>
      <c r="E97" s="26"/>
    </row>
  </sheetData>
  <mergeCells count="14">
    <mergeCell ref="W8:W10"/>
    <mergeCell ref="L7:W7"/>
    <mergeCell ref="Q8:Q10"/>
    <mergeCell ref="R8:R10"/>
    <mergeCell ref="S8:S10"/>
    <mergeCell ref="T8:T10"/>
    <mergeCell ref="U8:U10"/>
    <mergeCell ref="V8:V10"/>
    <mergeCell ref="P8:P10"/>
    <mergeCell ref="G7:I7"/>
    <mergeCell ref="L8:L10"/>
    <mergeCell ref="M8:M10"/>
    <mergeCell ref="N8:N10"/>
    <mergeCell ref="O8:O10"/>
  </mergeCells>
  <phoneticPr fontId="22" type="noConversion"/>
  <pageMargins left="0.25" right="0.25" top="0.75" bottom="0.75" header="0.3" footer="0.3"/>
  <pageSetup scale="28" fitToHeight="2" orientation="portrait" r:id="rId1"/>
  <rowBreaks count="2" manualBreakCount="2">
    <brk id="33" max="10" man="1"/>
    <brk id="5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6A50-AB7C-484A-9835-55F5C17ADD20}">
  <sheetPr>
    <pageSetUpPr fitToPage="1"/>
  </sheetPr>
  <dimension ref="A1:J94"/>
  <sheetViews>
    <sheetView zoomScaleNormal="100" workbookViewId="0">
      <selection activeCell="J83" sqref="J83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7" width="21.7109375" customWidth="1"/>
    <col min="8" max="8" width="2.7109375" customWidth="1"/>
    <col min="9" max="10" width="21.7109375" customWidth="1"/>
  </cols>
  <sheetData>
    <row r="1" spans="1:10" ht="18.75" x14ac:dyDescent="0.3">
      <c r="A1" s="132" t="s">
        <v>220</v>
      </c>
    </row>
    <row r="2" spans="1:10" x14ac:dyDescent="0.25">
      <c r="A2" s="134" t="s">
        <v>221</v>
      </c>
    </row>
    <row r="3" spans="1:10" x14ac:dyDescent="0.25">
      <c r="A3" t="s">
        <v>217</v>
      </c>
      <c r="B3" s="133">
        <v>46224</v>
      </c>
    </row>
    <row r="5" spans="1:10" x14ac:dyDescent="0.25">
      <c r="A5" s="115" t="s">
        <v>191</v>
      </c>
      <c r="B5" s="119" t="s">
        <v>8</v>
      </c>
      <c r="C5" s="123" t="s">
        <v>213</v>
      </c>
      <c r="D5" s="123" t="s">
        <v>272</v>
      </c>
      <c r="E5" s="123" t="s">
        <v>192</v>
      </c>
      <c r="F5" s="126" t="s">
        <v>219</v>
      </c>
      <c r="G5" s="123" t="s">
        <v>214</v>
      </c>
      <c r="H5" s="114"/>
      <c r="I5" s="129" t="s">
        <v>215</v>
      </c>
      <c r="J5" s="116" t="s">
        <v>216</v>
      </c>
    </row>
    <row r="6" spans="1:10" x14ac:dyDescent="0.25">
      <c r="A6" s="112" t="s">
        <v>193</v>
      </c>
      <c r="B6" s="120" t="s">
        <v>202</v>
      </c>
      <c r="C6" s="124"/>
      <c r="D6" s="124"/>
      <c r="E6" s="124"/>
      <c r="F6" s="124"/>
      <c r="G6" s="124"/>
      <c r="I6" s="122"/>
    </row>
    <row r="7" spans="1:10" x14ac:dyDescent="0.25">
      <c r="A7" s="180" t="s">
        <v>194</v>
      </c>
      <c r="B7" s="181" t="s">
        <v>203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25">
      <c r="A8" s="180" t="s">
        <v>195</v>
      </c>
      <c r="B8" s="181" t="s">
        <v>204</v>
      </c>
      <c r="C8" s="190">
        <v>220.72</v>
      </c>
      <c r="D8" s="182"/>
      <c r="E8" s="190">
        <f>SUM(E9:E10)</f>
        <v>220.72</v>
      </c>
      <c r="F8" s="199">
        <v>85</v>
      </c>
      <c r="G8" s="184">
        <f>SUM(G9:G10)</f>
        <v>18761.2</v>
      </c>
      <c r="H8" s="185"/>
      <c r="I8" s="193">
        <v>15480.06</v>
      </c>
      <c r="J8" s="221">
        <f>(G8+G11)-(I8+I11)</f>
        <v>3416.0300000000007</v>
      </c>
    </row>
    <row r="9" spans="1:10" x14ac:dyDescent="0.25">
      <c r="A9" s="112"/>
      <c r="B9" s="120"/>
      <c r="C9" s="124"/>
      <c r="D9" s="124" t="s">
        <v>295</v>
      </c>
      <c r="E9" s="124">
        <v>220.72</v>
      </c>
      <c r="F9" s="127">
        <v>85</v>
      </c>
      <c r="G9" s="127">
        <f>F9*E9</f>
        <v>18761.2</v>
      </c>
      <c r="I9" s="130"/>
      <c r="J9" s="222"/>
    </row>
    <row r="10" spans="1:10" x14ac:dyDescent="0.25">
      <c r="A10" s="112"/>
      <c r="B10" s="120"/>
      <c r="C10" s="124"/>
      <c r="D10" s="124" t="s">
        <v>275</v>
      </c>
      <c r="E10" s="124">
        <v>0</v>
      </c>
      <c r="F10" s="127">
        <v>90</v>
      </c>
      <c r="G10" s="127"/>
      <c r="I10" s="130"/>
      <c r="J10" s="222"/>
    </row>
    <row r="11" spans="1:10" x14ac:dyDescent="0.25">
      <c r="A11" s="180" t="s">
        <v>196</v>
      </c>
      <c r="B11" s="181" t="s">
        <v>205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3"/>
    </row>
    <row r="12" spans="1:10" x14ac:dyDescent="0.25">
      <c r="A12" s="112"/>
      <c r="B12" s="120"/>
      <c r="C12" s="124"/>
      <c r="D12" s="124" t="s">
        <v>296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25">
      <c r="A13" s="112"/>
      <c r="B13" s="120"/>
      <c r="C13" s="124"/>
      <c r="D13" s="124" t="s">
        <v>297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25">
      <c r="A14" s="112"/>
      <c r="B14" s="120"/>
      <c r="C14" s="124"/>
      <c r="D14" s="124" t="s">
        <v>298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25">
      <c r="A15" s="112"/>
      <c r="B15" s="120"/>
      <c r="C15" s="124"/>
      <c r="D15" s="124" t="s">
        <v>299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25">
      <c r="A16" s="112"/>
      <c r="B16" s="120"/>
      <c r="C16" s="124"/>
      <c r="D16" s="124" t="s">
        <v>300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25">
      <c r="A17" s="112"/>
      <c r="B17" s="120"/>
      <c r="C17" s="124"/>
      <c r="D17" s="124" t="s">
        <v>301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25">
      <c r="A18" s="112"/>
      <c r="B18" s="120"/>
      <c r="C18" s="124"/>
      <c r="D18" s="124" t="s">
        <v>302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25">
      <c r="A19" s="112"/>
      <c r="B19" s="120"/>
      <c r="C19" s="124"/>
      <c r="D19" s="124" t="s">
        <v>303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25">
      <c r="A20" s="180" t="s">
        <v>197</v>
      </c>
      <c r="B20" s="181" t="s">
        <v>206</v>
      </c>
      <c r="C20" s="190">
        <v>303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18818.47</v>
      </c>
      <c r="J20" s="187">
        <f>G20-I20</f>
        <v>-18818.47</v>
      </c>
    </row>
    <row r="21" spans="1:10" x14ac:dyDescent="0.25">
      <c r="A21" s="180" t="s">
        <v>198</v>
      </c>
      <c r="B21" s="181" t="s">
        <v>207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25">
      <c r="A22" s="188" t="s">
        <v>199</v>
      </c>
      <c r="B22" s="189" t="s">
        <v>208</v>
      </c>
      <c r="C22" s="190">
        <v>58.36</v>
      </c>
      <c r="D22" s="190"/>
      <c r="E22" s="190">
        <f>SUM(E23:E30)</f>
        <v>58.36</v>
      </c>
      <c r="F22" s="191"/>
      <c r="G22" s="191">
        <f>SUM(G23:G30)</f>
        <v>2994.7999999999997</v>
      </c>
      <c r="H22" s="192"/>
      <c r="I22" s="193">
        <v>1498.68</v>
      </c>
      <c r="J22" s="194">
        <f t="shared" si="1"/>
        <v>1496.1199999999997</v>
      </c>
    </row>
    <row r="23" spans="1:10" x14ac:dyDescent="0.25">
      <c r="A23" s="112"/>
      <c r="B23" s="120"/>
      <c r="C23" s="124"/>
      <c r="D23" s="124" t="s">
        <v>296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25">
      <c r="A24" s="112"/>
      <c r="B24" s="120"/>
      <c r="C24" s="124"/>
      <c r="D24" s="124" t="s">
        <v>297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25">
      <c r="A25" s="112"/>
      <c r="B25" s="120"/>
      <c r="C25" s="124"/>
      <c r="D25" s="124" t="s">
        <v>298</v>
      </c>
      <c r="E25" s="124">
        <v>18.809999999999999</v>
      </c>
      <c r="F25" s="127">
        <v>50</v>
      </c>
      <c r="G25" s="127">
        <f t="shared" si="2"/>
        <v>940.49999999999989</v>
      </c>
      <c r="I25" s="130"/>
      <c r="J25" s="117"/>
    </row>
    <row r="26" spans="1:10" x14ac:dyDescent="0.25">
      <c r="A26" s="112"/>
      <c r="B26" s="120"/>
      <c r="C26" s="124"/>
      <c r="D26" s="124" t="s">
        <v>299</v>
      </c>
      <c r="E26" s="124">
        <v>9.58</v>
      </c>
      <c r="F26" s="127">
        <v>50</v>
      </c>
      <c r="G26" s="127">
        <f t="shared" si="2"/>
        <v>479</v>
      </c>
      <c r="I26" s="130"/>
      <c r="J26" s="117"/>
    </row>
    <row r="27" spans="1:10" x14ac:dyDescent="0.25">
      <c r="A27" s="112"/>
      <c r="B27" s="120"/>
      <c r="C27" s="124"/>
      <c r="D27" s="124" t="s">
        <v>300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25">
      <c r="A28" s="112"/>
      <c r="B28" s="120"/>
      <c r="C28" s="124"/>
      <c r="D28" s="124" t="s">
        <v>301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25">
      <c r="A29" s="112"/>
      <c r="B29" s="120"/>
      <c r="C29" s="124"/>
      <c r="D29" s="124" t="s">
        <v>302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25">
      <c r="A30" s="112"/>
      <c r="B30" s="120"/>
      <c r="C30" s="124"/>
      <c r="D30" s="124" t="s">
        <v>303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25">
      <c r="A31" s="188" t="s">
        <v>284</v>
      </c>
      <c r="B31" s="195" t="s">
        <v>266</v>
      </c>
      <c r="C31" s="190">
        <v>15.6</v>
      </c>
      <c r="D31" s="190"/>
      <c r="E31" s="190">
        <f>SUM(E32:E39)</f>
        <v>15.6</v>
      </c>
      <c r="F31" s="196"/>
      <c r="G31" s="191">
        <f>SUM(G32:G39)</f>
        <v>872.8</v>
      </c>
      <c r="H31" s="192"/>
      <c r="I31" s="193">
        <v>582.37</v>
      </c>
      <c r="J31" s="194">
        <f t="shared" si="1"/>
        <v>290.42999999999995</v>
      </c>
    </row>
    <row r="32" spans="1:10" x14ac:dyDescent="0.25">
      <c r="A32" s="112"/>
      <c r="B32" s="170"/>
      <c r="C32" s="124"/>
      <c r="D32" s="124" t="s">
        <v>296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25">
      <c r="A33" s="112"/>
      <c r="B33" s="170"/>
      <c r="C33" s="124"/>
      <c r="D33" s="124" t="s">
        <v>297</v>
      </c>
      <c r="E33" s="124">
        <v>5.35</v>
      </c>
      <c r="F33" s="127">
        <v>60</v>
      </c>
      <c r="G33" s="127">
        <f t="shared" ref="G33:G39" si="3">F33*E33</f>
        <v>321</v>
      </c>
      <c r="I33" s="130"/>
      <c r="J33" s="117"/>
    </row>
    <row r="34" spans="1:10" x14ac:dyDescent="0.25">
      <c r="A34" s="112"/>
      <c r="B34" s="170"/>
      <c r="C34" s="124"/>
      <c r="D34" s="124" t="s">
        <v>298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25">
      <c r="A35" s="112"/>
      <c r="B35" s="170"/>
      <c r="C35" s="124"/>
      <c r="D35" s="124" t="s">
        <v>299</v>
      </c>
      <c r="E35" s="124">
        <v>2</v>
      </c>
      <c r="F35" s="127">
        <v>50</v>
      </c>
      <c r="G35" s="127">
        <f t="shared" si="3"/>
        <v>100</v>
      </c>
      <c r="I35" s="130"/>
      <c r="J35" s="117"/>
    </row>
    <row r="36" spans="1:10" x14ac:dyDescent="0.25">
      <c r="A36" s="112"/>
      <c r="B36" s="170"/>
      <c r="C36" s="124"/>
      <c r="D36" s="124" t="s">
        <v>300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25">
      <c r="A37" s="112"/>
      <c r="B37" s="170"/>
      <c r="C37" s="124"/>
      <c r="D37" s="124" t="s">
        <v>301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25">
      <c r="A38" s="112"/>
      <c r="B38" s="170"/>
      <c r="C38" s="124"/>
      <c r="D38" s="124" t="s">
        <v>302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25">
      <c r="A39" s="112"/>
      <c r="B39" s="170"/>
      <c r="C39" s="124"/>
      <c r="D39" s="124" t="s">
        <v>303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25">
      <c r="A40" s="188" t="s">
        <v>200</v>
      </c>
      <c r="B40" s="189" t="s">
        <v>209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2311.23</v>
      </c>
      <c r="J40" s="194">
        <f t="shared" si="1"/>
        <v>1739.3699999999994</v>
      </c>
    </row>
    <row r="41" spans="1:10" x14ac:dyDescent="0.25">
      <c r="A41" s="112"/>
      <c r="B41" s="120"/>
      <c r="C41" s="124"/>
      <c r="D41" s="124" t="s">
        <v>296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25">
      <c r="A42" s="112"/>
      <c r="B42" s="120"/>
      <c r="C42" s="200"/>
      <c r="D42" s="124" t="s">
        <v>297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25">
      <c r="A43" s="112"/>
      <c r="B43" s="120"/>
      <c r="C43" s="124"/>
      <c r="D43" s="124" t="s">
        <v>298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25">
      <c r="A44" s="112"/>
      <c r="B44" s="120"/>
      <c r="C44" s="124"/>
      <c r="D44" s="124" t="s">
        <v>299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25">
      <c r="A45" s="112"/>
      <c r="B45" s="120"/>
      <c r="C45" s="124"/>
      <c r="D45" s="124" t="s">
        <v>300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25">
      <c r="A46" s="112"/>
      <c r="B46" s="120"/>
      <c r="C46" s="124"/>
      <c r="D46" s="124" t="s">
        <v>301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25">
      <c r="A47" s="112"/>
      <c r="B47" s="120"/>
      <c r="C47" s="124"/>
      <c r="D47" s="124" t="s">
        <v>302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25">
      <c r="A48" s="112"/>
      <c r="B48" s="120"/>
      <c r="C48" s="124"/>
      <c r="D48" s="124" t="s">
        <v>303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25">
      <c r="A49" s="188" t="s">
        <v>201</v>
      </c>
      <c r="B49" s="189" t="s">
        <v>210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25">
      <c r="A50" s="112"/>
      <c r="B50" s="120"/>
      <c r="C50" s="124"/>
      <c r="D50" s="124" t="s">
        <v>296</v>
      </c>
      <c r="E50" s="124">
        <v>0</v>
      </c>
      <c r="F50" s="127">
        <v>60</v>
      </c>
      <c r="G50" s="127">
        <f>F50*E50</f>
        <v>0</v>
      </c>
      <c r="I50" s="130"/>
      <c r="J50" s="117"/>
    </row>
    <row r="51" spans="1:10" x14ac:dyDescent="0.25">
      <c r="A51" s="112"/>
      <c r="B51" s="120"/>
      <c r="C51" s="124"/>
      <c r="D51" s="124" t="s">
        <v>297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25">
      <c r="A52" s="112"/>
      <c r="B52" s="120"/>
      <c r="C52" s="124"/>
      <c r="D52" s="124" t="s">
        <v>298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25">
      <c r="A53" s="112"/>
      <c r="B53" s="120"/>
      <c r="C53" s="124"/>
      <c r="D53" s="124" t="s">
        <v>299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25">
      <c r="A54" s="112"/>
      <c r="B54" s="120"/>
      <c r="C54" s="124"/>
      <c r="D54" s="124" t="s">
        <v>300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25">
      <c r="A55" s="112"/>
      <c r="B55" s="120"/>
      <c r="C55" s="124"/>
      <c r="D55" s="124" t="s">
        <v>301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25">
      <c r="A56" s="112"/>
      <c r="B56" s="120"/>
      <c r="C56" s="124"/>
      <c r="D56" s="124" t="s">
        <v>302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25">
      <c r="A57" s="112"/>
      <c r="B57" s="120"/>
      <c r="C57" s="124"/>
      <c r="D57" s="124" t="s">
        <v>303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25">
      <c r="A58" s="113"/>
      <c r="B58" s="166" t="s">
        <v>247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25">
      <c r="B59" s="122"/>
      <c r="C59" s="124">
        <f>SUM(C7:C58)</f>
        <v>856.38</v>
      </c>
      <c r="D59" s="124"/>
      <c r="E59" s="124">
        <f>SUM(E49+E40+E31+E22+E8)</f>
        <v>431.43999999999994</v>
      </c>
      <c r="F59" s="124"/>
      <c r="G59" s="127">
        <f>SUM(G7:G50)</f>
        <v>57265.700000000012</v>
      </c>
      <c r="I59" s="130">
        <f>SUM(I7:I49)</f>
        <v>47236.060000000005</v>
      </c>
    </row>
    <row r="60" spans="1:10" x14ac:dyDescent="0.25">
      <c r="B60" s="122"/>
      <c r="C60" s="124"/>
      <c r="D60" s="124"/>
      <c r="E60" s="124"/>
      <c r="F60" s="124"/>
      <c r="G60" s="124"/>
      <c r="I60" s="122"/>
    </row>
    <row r="61" spans="1:10" x14ac:dyDescent="0.25">
      <c r="A61" s="112" t="s">
        <v>222</v>
      </c>
      <c r="B61" s="120" t="s">
        <v>225</v>
      </c>
      <c r="C61" s="124"/>
      <c r="D61" s="124"/>
      <c r="E61" s="124"/>
      <c r="F61" s="124"/>
      <c r="G61" s="124"/>
      <c r="I61" s="122"/>
    </row>
    <row r="62" spans="1:10" x14ac:dyDescent="0.25">
      <c r="A62" s="188" t="s">
        <v>223</v>
      </c>
      <c r="B62" s="189" t="s">
        <v>224</v>
      </c>
      <c r="C62" s="197">
        <v>124.01</v>
      </c>
      <c r="D62" s="197"/>
      <c r="E62" s="197">
        <f>SUM(E63:E70)</f>
        <v>124.00999999999999</v>
      </c>
      <c r="F62" s="198"/>
      <c r="G62" s="193">
        <f>SUM(G63:G70)</f>
        <v>6603.8</v>
      </c>
      <c r="H62" s="192"/>
      <c r="I62" s="193">
        <v>3377.02</v>
      </c>
      <c r="J62" s="194">
        <f>G62-I62</f>
        <v>3226.78</v>
      </c>
    </row>
    <row r="63" spans="1:10" x14ac:dyDescent="0.25">
      <c r="A63" s="112"/>
      <c r="B63" s="120"/>
      <c r="C63" s="122"/>
      <c r="D63" s="124" t="s">
        <v>296</v>
      </c>
      <c r="E63" s="122">
        <v>7.88</v>
      </c>
      <c r="F63" s="127">
        <v>60</v>
      </c>
      <c r="G63" s="130">
        <f>F63*E63</f>
        <v>472.8</v>
      </c>
      <c r="I63" s="130"/>
      <c r="J63" s="117"/>
    </row>
    <row r="64" spans="1:10" x14ac:dyDescent="0.25">
      <c r="A64" s="112"/>
      <c r="B64" s="120"/>
      <c r="C64" s="124"/>
      <c r="D64" s="124" t="s">
        <v>297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25">
      <c r="A65" s="112"/>
      <c r="B65" s="120"/>
      <c r="C65" s="124"/>
      <c r="D65" s="124" t="s">
        <v>298</v>
      </c>
      <c r="E65" s="124">
        <v>38.39</v>
      </c>
      <c r="F65" s="127">
        <v>50</v>
      </c>
      <c r="G65" s="130">
        <f t="shared" si="6"/>
        <v>1919.5</v>
      </c>
      <c r="I65" s="130"/>
      <c r="J65" s="117"/>
    </row>
    <row r="66" spans="1:10" x14ac:dyDescent="0.25">
      <c r="A66" s="112"/>
      <c r="B66" s="120"/>
      <c r="C66" s="124"/>
      <c r="D66" s="124" t="s">
        <v>299</v>
      </c>
      <c r="E66" s="124">
        <v>32.07</v>
      </c>
      <c r="F66" s="127">
        <v>50</v>
      </c>
      <c r="G66" s="130">
        <f t="shared" si="6"/>
        <v>1603.5</v>
      </c>
      <c r="I66" s="130"/>
      <c r="J66" s="117"/>
    </row>
    <row r="67" spans="1:10" x14ac:dyDescent="0.25">
      <c r="A67" s="112"/>
      <c r="B67" s="120"/>
      <c r="C67" s="124"/>
      <c r="D67" s="124" t="s">
        <v>300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25">
      <c r="A68" s="112"/>
      <c r="B68" s="120"/>
      <c r="C68" s="124"/>
      <c r="D68" s="124" t="s">
        <v>301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25">
      <c r="A69" s="112"/>
      <c r="B69" s="120"/>
      <c r="C69" s="124"/>
      <c r="D69" s="124" t="s">
        <v>302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25">
      <c r="A70" s="113"/>
      <c r="B70" s="121"/>
      <c r="C70" s="125"/>
      <c r="D70" s="125" t="s">
        <v>303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25">
      <c r="A71" s="112"/>
      <c r="B71" s="120"/>
      <c r="C71" s="124">
        <f>SUM(C62)</f>
        <v>124.01</v>
      </c>
      <c r="D71" s="124"/>
      <c r="E71" s="124">
        <f>SUM(E62)</f>
        <v>124.00999999999999</v>
      </c>
      <c r="F71" s="124"/>
      <c r="G71" s="127">
        <f>SUM(G62)</f>
        <v>6603.8</v>
      </c>
      <c r="I71" s="130">
        <f>SUM(I62)</f>
        <v>3377.02</v>
      </c>
    </row>
    <row r="72" spans="1:10" x14ac:dyDescent="0.25">
      <c r="A72" s="112"/>
      <c r="B72" s="120"/>
      <c r="C72" s="124"/>
      <c r="D72" s="124"/>
      <c r="E72" s="124"/>
      <c r="F72" s="124"/>
      <c r="G72" s="127"/>
      <c r="I72" s="130"/>
    </row>
    <row r="73" spans="1:10" x14ac:dyDescent="0.25">
      <c r="A73" s="112" t="s">
        <v>268</v>
      </c>
      <c r="B73" s="120" t="s">
        <v>271</v>
      </c>
      <c r="C73" s="124"/>
      <c r="D73" s="124"/>
      <c r="E73" s="124"/>
      <c r="F73" s="124"/>
      <c r="G73" s="124"/>
      <c r="I73" s="122"/>
    </row>
    <row r="74" spans="1:10" x14ac:dyDescent="0.25">
      <c r="A74" s="188" t="s">
        <v>84</v>
      </c>
      <c r="B74" s="189" t="s">
        <v>85</v>
      </c>
      <c r="C74" s="197">
        <v>183.56</v>
      </c>
      <c r="D74" s="197"/>
      <c r="E74" s="197">
        <f>SUM(E75:E82)</f>
        <v>183.55999999999997</v>
      </c>
      <c r="F74" s="198"/>
      <c r="G74" s="193">
        <f>SUM(G75:G82)</f>
        <v>9679.9</v>
      </c>
      <c r="H74" s="192"/>
      <c r="I74" s="193">
        <v>5115.16</v>
      </c>
      <c r="J74" s="194">
        <f>G74-I74</f>
        <v>4564.74</v>
      </c>
    </row>
    <row r="75" spans="1:10" x14ac:dyDescent="0.25">
      <c r="A75" s="112"/>
      <c r="B75" s="120"/>
      <c r="C75" s="124"/>
      <c r="D75" s="124" t="s">
        <v>296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25">
      <c r="A76" s="112"/>
      <c r="B76" s="120"/>
      <c r="C76" s="124"/>
      <c r="D76" s="124" t="s">
        <v>297</v>
      </c>
      <c r="E76" s="124">
        <v>33.04</v>
      </c>
      <c r="F76" s="127">
        <v>60</v>
      </c>
      <c r="G76" s="127">
        <f t="shared" ref="G76:G82" si="7">F76*E76</f>
        <v>1982.3999999999999</v>
      </c>
      <c r="I76" s="130"/>
      <c r="J76" s="117"/>
    </row>
    <row r="77" spans="1:10" x14ac:dyDescent="0.25">
      <c r="A77" s="112"/>
      <c r="B77" s="120"/>
      <c r="C77" s="124"/>
      <c r="D77" s="124" t="s">
        <v>298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25">
      <c r="A78" s="112"/>
      <c r="B78" s="120"/>
      <c r="C78" s="124"/>
      <c r="D78" s="124" t="s">
        <v>299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25">
      <c r="A79" s="112"/>
      <c r="B79" s="120"/>
      <c r="C79" s="124"/>
      <c r="D79" s="124" t="s">
        <v>300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25">
      <c r="A80" s="112"/>
      <c r="B80" s="120"/>
      <c r="C80" s="124"/>
      <c r="D80" s="124" t="s">
        <v>301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25">
      <c r="A81" s="112"/>
      <c r="B81" s="120"/>
      <c r="C81" s="124"/>
      <c r="D81" s="124" t="s">
        <v>302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25">
      <c r="A82" s="113"/>
      <c r="B82" s="121"/>
      <c r="C82" s="125"/>
      <c r="D82" s="125" t="s">
        <v>303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25">
      <c r="A83" s="112"/>
      <c r="B83" s="120"/>
      <c r="C83" s="124">
        <f>SUM(C74)</f>
        <v>183.56</v>
      </c>
      <c r="D83" s="124"/>
      <c r="E83" s="124">
        <f>SUM(E74)</f>
        <v>183.55999999999997</v>
      </c>
      <c r="F83" s="124"/>
      <c r="G83" s="127">
        <f>SUM(G74)</f>
        <v>9679.9</v>
      </c>
      <c r="I83" s="130">
        <f>SUM(I74)</f>
        <v>5115.16</v>
      </c>
    </row>
    <row r="84" spans="1:10" x14ac:dyDescent="0.2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25">
      <c r="A85" s="112" t="s">
        <v>211</v>
      </c>
      <c r="B85" s="120" t="s">
        <v>212</v>
      </c>
      <c r="C85" s="124"/>
      <c r="D85" s="124"/>
      <c r="E85" s="124"/>
      <c r="F85" s="124"/>
      <c r="G85" s="124"/>
      <c r="I85" s="122"/>
    </row>
    <row r="86" spans="1:10" hidden="1" x14ac:dyDescent="0.2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2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2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25">
      <c r="A89" s="112" t="s">
        <v>211</v>
      </c>
      <c r="B89" s="120" t="s">
        <v>212</v>
      </c>
      <c r="C89" s="124"/>
      <c r="D89" s="124"/>
      <c r="E89" s="124"/>
      <c r="F89" s="124"/>
      <c r="G89" s="124"/>
      <c r="I89" s="122"/>
    </row>
    <row r="90" spans="1:10" hidden="1" x14ac:dyDescent="0.2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2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25">
      <c r="B92" s="122"/>
      <c r="C92" s="124"/>
      <c r="D92" s="124"/>
      <c r="E92" s="124"/>
      <c r="F92" s="124"/>
      <c r="G92" s="124"/>
      <c r="I92" s="122"/>
    </row>
    <row r="93" spans="1:10" hidden="1" x14ac:dyDescent="0.25"/>
    <row r="94" spans="1:10" x14ac:dyDescent="0.25">
      <c r="C94">
        <f>C83+C71+C59</f>
        <v>1163.95</v>
      </c>
      <c r="E94">
        <f>E83+E71+E59</f>
        <v>739.00999999999988</v>
      </c>
      <c r="G94" s="117">
        <f>SUM(G83+G71+G59)</f>
        <v>73549.400000000009</v>
      </c>
      <c r="I94" s="117">
        <f>SUM(I83+I71+I59)</f>
        <v>55728.240000000005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011E-B6E1-4A4B-A8B6-0A1C0B8937E7}">
  <sheetPr>
    <pageSetUpPr fitToPage="1"/>
  </sheetPr>
  <dimension ref="A1:J94"/>
  <sheetViews>
    <sheetView zoomScaleNormal="100" workbookViewId="0">
      <selection activeCell="J40" sqref="J4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7" width="21.7109375" customWidth="1"/>
    <col min="8" max="8" width="2.7109375" customWidth="1"/>
    <col min="9" max="10" width="21.7109375" customWidth="1"/>
  </cols>
  <sheetData>
    <row r="1" spans="1:10" ht="18.75" x14ac:dyDescent="0.3">
      <c r="A1" s="132" t="s">
        <v>220</v>
      </c>
    </row>
    <row r="2" spans="1:10" x14ac:dyDescent="0.25">
      <c r="A2" s="134" t="s">
        <v>221</v>
      </c>
    </row>
    <row r="3" spans="1:10" x14ac:dyDescent="0.25">
      <c r="A3" t="s">
        <v>217</v>
      </c>
      <c r="B3" s="133">
        <v>46191</v>
      </c>
    </row>
    <row r="5" spans="1:10" x14ac:dyDescent="0.25">
      <c r="A5" s="115" t="s">
        <v>191</v>
      </c>
      <c r="B5" s="119" t="s">
        <v>8</v>
      </c>
      <c r="C5" s="123" t="s">
        <v>213</v>
      </c>
      <c r="D5" s="123" t="s">
        <v>272</v>
      </c>
      <c r="E5" s="123" t="s">
        <v>192</v>
      </c>
      <c r="F5" s="126" t="s">
        <v>219</v>
      </c>
      <c r="G5" s="123" t="s">
        <v>214</v>
      </c>
      <c r="H5" s="114"/>
      <c r="I5" s="129" t="s">
        <v>215</v>
      </c>
      <c r="J5" s="116" t="s">
        <v>216</v>
      </c>
    </row>
    <row r="6" spans="1:10" x14ac:dyDescent="0.25">
      <c r="A6" s="112" t="s">
        <v>193</v>
      </c>
      <c r="B6" s="120" t="s">
        <v>202</v>
      </c>
      <c r="C6" s="124"/>
      <c r="D6" s="124"/>
      <c r="E6" s="124"/>
      <c r="F6" s="124"/>
      <c r="G6" s="124"/>
      <c r="I6" s="122"/>
    </row>
    <row r="7" spans="1:10" x14ac:dyDescent="0.25">
      <c r="A7" s="180" t="s">
        <v>194</v>
      </c>
      <c r="B7" s="181" t="s">
        <v>203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25">
      <c r="A8" s="180" t="s">
        <v>195</v>
      </c>
      <c r="B8" s="181" t="s">
        <v>204</v>
      </c>
      <c r="C8" s="190">
        <v>209.57</v>
      </c>
      <c r="D8" s="182"/>
      <c r="E8" s="190">
        <f>SUM(E9:E10)</f>
        <v>209.57</v>
      </c>
      <c r="F8" s="199">
        <v>85</v>
      </c>
      <c r="G8" s="184">
        <f>SUM(G9:G10)</f>
        <v>17813.45</v>
      </c>
      <c r="H8" s="185"/>
      <c r="I8" s="193">
        <v>14676.4</v>
      </c>
      <c r="J8" s="221">
        <f>(G8+G11)-(I8+I11)</f>
        <v>3271.9400000000005</v>
      </c>
    </row>
    <row r="9" spans="1:10" x14ac:dyDescent="0.25">
      <c r="A9" s="112"/>
      <c r="B9" s="120"/>
      <c r="C9" s="124"/>
      <c r="D9" s="124" t="s">
        <v>295</v>
      </c>
      <c r="E9" s="124">
        <v>209.57</v>
      </c>
      <c r="F9" s="127">
        <v>85</v>
      </c>
      <c r="G9" s="127">
        <f>F9*E9</f>
        <v>17813.45</v>
      </c>
      <c r="I9" s="130"/>
      <c r="J9" s="222"/>
    </row>
    <row r="10" spans="1:10" x14ac:dyDescent="0.25">
      <c r="A10" s="112"/>
      <c r="B10" s="120"/>
      <c r="C10" s="124"/>
      <c r="D10" s="124" t="s">
        <v>275</v>
      </c>
      <c r="E10" s="124">
        <v>0</v>
      </c>
      <c r="F10" s="127">
        <v>90</v>
      </c>
      <c r="G10" s="127"/>
      <c r="I10" s="130"/>
      <c r="J10" s="222"/>
    </row>
    <row r="11" spans="1:10" x14ac:dyDescent="0.25">
      <c r="A11" s="180" t="s">
        <v>196</v>
      </c>
      <c r="B11" s="181" t="s">
        <v>205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3"/>
    </row>
    <row r="12" spans="1:10" x14ac:dyDescent="0.25">
      <c r="A12" s="112"/>
      <c r="B12" s="120"/>
      <c r="C12" s="124"/>
      <c r="D12" s="124" t="s">
        <v>296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25">
      <c r="A13" s="112"/>
      <c r="B13" s="120"/>
      <c r="C13" s="124"/>
      <c r="D13" s="124" t="s">
        <v>297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25">
      <c r="A14" s="112"/>
      <c r="B14" s="120"/>
      <c r="C14" s="124"/>
      <c r="D14" s="124" t="s">
        <v>298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25">
      <c r="A15" s="112"/>
      <c r="B15" s="120"/>
      <c r="C15" s="124"/>
      <c r="D15" s="124" t="s">
        <v>299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25">
      <c r="A16" s="112"/>
      <c r="B16" s="120"/>
      <c r="C16" s="124"/>
      <c r="D16" s="124" t="s">
        <v>300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25">
      <c r="A17" s="112"/>
      <c r="B17" s="120"/>
      <c r="C17" s="124"/>
      <c r="D17" s="124" t="s">
        <v>301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25">
      <c r="A18" s="112"/>
      <c r="B18" s="120"/>
      <c r="C18" s="124"/>
      <c r="D18" s="124" t="s">
        <v>302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25">
      <c r="A19" s="112"/>
      <c r="B19" s="120"/>
      <c r="C19" s="124"/>
      <c r="D19" s="124" t="s">
        <v>303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25">
      <c r="A20" s="180" t="s">
        <v>197</v>
      </c>
      <c r="B20" s="181" t="s">
        <v>206</v>
      </c>
      <c r="C20" s="190">
        <v>233.5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11374.58</v>
      </c>
      <c r="J20" s="187">
        <f>G20-I20</f>
        <v>-11374.58</v>
      </c>
    </row>
    <row r="21" spans="1:10" x14ac:dyDescent="0.25">
      <c r="A21" s="180" t="s">
        <v>198</v>
      </c>
      <c r="B21" s="181" t="s">
        <v>207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25">
      <c r="A22" s="188" t="s">
        <v>199</v>
      </c>
      <c r="B22" s="189" t="s">
        <v>208</v>
      </c>
      <c r="C22" s="190">
        <v>56.19</v>
      </c>
      <c r="D22" s="190"/>
      <c r="E22" s="190">
        <f>SUM(E23:E30)</f>
        <v>56.19</v>
      </c>
      <c r="F22" s="191"/>
      <c r="G22" s="191">
        <f>SUM(G23:G30)</f>
        <v>2886.3</v>
      </c>
      <c r="H22" s="192"/>
      <c r="I22" s="193">
        <v>1458.77</v>
      </c>
      <c r="J22" s="194">
        <f t="shared" si="1"/>
        <v>1427.5300000000002</v>
      </c>
    </row>
    <row r="23" spans="1:10" x14ac:dyDescent="0.25">
      <c r="A23" s="112"/>
      <c r="B23" s="120"/>
      <c r="C23" s="124"/>
      <c r="D23" s="124" t="s">
        <v>296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25">
      <c r="A24" s="112"/>
      <c r="B24" s="120"/>
      <c r="C24" s="124"/>
      <c r="D24" s="124" t="s">
        <v>297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25">
      <c r="A25" s="112"/>
      <c r="B25" s="120"/>
      <c r="C25" s="124"/>
      <c r="D25" s="124" t="s">
        <v>298</v>
      </c>
      <c r="E25" s="124">
        <v>18.64</v>
      </c>
      <c r="F25" s="127">
        <v>50</v>
      </c>
      <c r="G25" s="127">
        <f t="shared" si="2"/>
        <v>932</v>
      </c>
      <c r="I25" s="130"/>
      <c r="J25" s="117"/>
    </row>
    <row r="26" spans="1:10" x14ac:dyDescent="0.25">
      <c r="A26" s="112"/>
      <c r="B26" s="120"/>
      <c r="C26" s="124"/>
      <c r="D26" s="124" t="s">
        <v>299</v>
      </c>
      <c r="E26" s="124">
        <v>7.58</v>
      </c>
      <c r="F26" s="127">
        <v>50</v>
      </c>
      <c r="G26" s="127">
        <f t="shared" si="2"/>
        <v>379</v>
      </c>
      <c r="I26" s="130"/>
      <c r="J26" s="117"/>
    </row>
    <row r="27" spans="1:10" x14ac:dyDescent="0.25">
      <c r="A27" s="112"/>
      <c r="B27" s="120"/>
      <c r="C27" s="124"/>
      <c r="D27" s="124" t="s">
        <v>300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25">
      <c r="A28" s="112"/>
      <c r="B28" s="120"/>
      <c r="C28" s="124"/>
      <c r="D28" s="124" t="s">
        <v>301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25">
      <c r="A29" s="112"/>
      <c r="B29" s="120"/>
      <c r="C29" s="124"/>
      <c r="D29" s="124" t="s">
        <v>302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25">
      <c r="A30" s="112"/>
      <c r="B30" s="120"/>
      <c r="C30" s="124"/>
      <c r="D30" s="124" t="s">
        <v>303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25">
      <c r="A31" s="188" t="s">
        <v>284</v>
      </c>
      <c r="B31" s="195" t="s">
        <v>266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1"/>
        <v>200.88999999999993</v>
      </c>
    </row>
    <row r="32" spans="1:10" x14ac:dyDescent="0.25">
      <c r="A32" s="112"/>
      <c r="B32" s="170"/>
      <c r="C32" s="124"/>
      <c r="D32" s="124" t="s">
        <v>296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25">
      <c r="A33" s="112"/>
      <c r="B33" s="170"/>
      <c r="C33" s="124"/>
      <c r="D33" s="124" t="s">
        <v>297</v>
      </c>
      <c r="E33" s="124"/>
      <c r="F33" s="127">
        <v>60</v>
      </c>
      <c r="G33" s="127">
        <f t="shared" ref="G33:G39" si="3">F33*E33</f>
        <v>0</v>
      </c>
      <c r="I33" s="130"/>
      <c r="J33" s="117"/>
    </row>
    <row r="34" spans="1:10" x14ac:dyDescent="0.25">
      <c r="A34" s="112"/>
      <c r="B34" s="170"/>
      <c r="C34" s="124"/>
      <c r="D34" s="124" t="s">
        <v>298</v>
      </c>
      <c r="E34" s="124"/>
      <c r="F34" s="127">
        <v>50</v>
      </c>
      <c r="G34" s="127">
        <f t="shared" si="3"/>
        <v>0</v>
      </c>
      <c r="I34" s="130"/>
      <c r="J34" s="117"/>
    </row>
    <row r="35" spans="1:10" x14ac:dyDescent="0.25">
      <c r="A35" s="112"/>
      <c r="B35" s="170"/>
      <c r="C35" s="124"/>
      <c r="D35" s="124" t="s">
        <v>299</v>
      </c>
      <c r="E35" s="124"/>
      <c r="F35" s="127">
        <v>50</v>
      </c>
      <c r="G35" s="127">
        <f t="shared" si="3"/>
        <v>0</v>
      </c>
      <c r="I35" s="130"/>
      <c r="J35" s="117"/>
    </row>
    <row r="36" spans="1:10" x14ac:dyDescent="0.25">
      <c r="A36" s="112"/>
      <c r="B36" s="170"/>
      <c r="C36" s="124"/>
      <c r="D36" s="124" t="s">
        <v>300</v>
      </c>
      <c r="E36" s="124">
        <v>2</v>
      </c>
      <c r="F36" s="127">
        <v>50</v>
      </c>
      <c r="G36" s="127">
        <f t="shared" si="3"/>
        <v>100</v>
      </c>
      <c r="I36" s="130"/>
      <c r="J36" s="117"/>
    </row>
    <row r="37" spans="1:10" x14ac:dyDescent="0.25">
      <c r="A37" s="112"/>
      <c r="B37" s="170"/>
      <c r="C37" s="124"/>
      <c r="D37" s="124" t="s">
        <v>301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25">
      <c r="A38" s="112"/>
      <c r="B38" s="170"/>
      <c r="C38" s="124"/>
      <c r="D38" s="124" t="s">
        <v>302</v>
      </c>
      <c r="E38" s="124"/>
      <c r="F38" s="127">
        <v>75</v>
      </c>
      <c r="G38" s="127">
        <f t="shared" si="3"/>
        <v>0</v>
      </c>
      <c r="I38" s="130"/>
      <c r="J38" s="117"/>
    </row>
    <row r="39" spans="1:10" x14ac:dyDescent="0.25">
      <c r="A39" s="112"/>
      <c r="B39" s="170"/>
      <c r="C39" s="124"/>
      <c r="D39" s="124" t="s">
        <v>303</v>
      </c>
      <c r="E39" s="124"/>
      <c r="F39" s="127">
        <v>60</v>
      </c>
      <c r="G39" s="127">
        <f t="shared" si="3"/>
        <v>0</v>
      </c>
      <c r="I39" s="130"/>
      <c r="J39" s="117"/>
    </row>
    <row r="40" spans="1:10" x14ac:dyDescent="0.25">
      <c r="A40" s="188" t="s">
        <v>200</v>
      </c>
      <c r="B40" s="189" t="s">
        <v>209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1"/>
        <v>1739.7299999999996</v>
      </c>
    </row>
    <row r="41" spans="1:10" x14ac:dyDescent="0.25">
      <c r="A41" s="112"/>
      <c r="B41" s="120"/>
      <c r="C41" s="124"/>
      <c r="D41" s="124" t="s">
        <v>296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25">
      <c r="A42" s="112"/>
      <c r="B42" s="120"/>
      <c r="C42" s="200" t="s">
        <v>283</v>
      </c>
      <c r="D42" s="124" t="s">
        <v>297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25">
      <c r="A43" s="112"/>
      <c r="B43" s="120"/>
      <c r="C43" s="124"/>
      <c r="D43" s="124" t="s">
        <v>298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25">
      <c r="A44" s="112"/>
      <c r="B44" s="120"/>
      <c r="C44" s="124"/>
      <c r="D44" s="124" t="s">
        <v>299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25">
      <c r="A45" s="112"/>
      <c r="B45" s="120"/>
      <c r="C45" s="124"/>
      <c r="D45" s="124" t="s">
        <v>300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25">
      <c r="A46" s="112"/>
      <c r="B46" s="120"/>
      <c r="C46" s="124"/>
      <c r="D46" s="124" t="s">
        <v>301</v>
      </c>
      <c r="E46" s="124"/>
      <c r="F46" s="127">
        <v>50</v>
      </c>
      <c r="G46" s="127">
        <f t="shared" si="4"/>
        <v>0</v>
      </c>
      <c r="I46" s="130"/>
      <c r="J46" s="117"/>
    </row>
    <row r="47" spans="1:10" x14ac:dyDescent="0.25">
      <c r="A47" s="112"/>
      <c r="B47" s="120"/>
      <c r="C47" s="124"/>
      <c r="D47" s="124" t="s">
        <v>302</v>
      </c>
      <c r="E47" s="124"/>
      <c r="F47" s="127"/>
      <c r="G47" s="127">
        <f t="shared" si="4"/>
        <v>0</v>
      </c>
      <c r="I47" s="130"/>
      <c r="J47" s="117"/>
    </row>
    <row r="48" spans="1:10" x14ac:dyDescent="0.25">
      <c r="A48" s="112"/>
      <c r="B48" s="120"/>
      <c r="C48" s="124"/>
      <c r="D48" s="124" t="s">
        <v>303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25">
      <c r="A49" s="188" t="s">
        <v>201</v>
      </c>
      <c r="B49" s="189" t="s">
        <v>210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25">
      <c r="A50" s="112"/>
      <c r="B50" s="120"/>
      <c r="C50" s="124"/>
      <c r="D50" s="124" t="s">
        <v>296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25">
      <c r="A51" s="112"/>
      <c r="B51" s="120"/>
      <c r="C51" s="124"/>
      <c r="D51" s="124" t="s">
        <v>297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25">
      <c r="A52" s="112"/>
      <c r="B52" s="120"/>
      <c r="C52" s="124"/>
      <c r="D52" s="124" t="s">
        <v>298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25">
      <c r="A53" s="112"/>
      <c r="B53" s="120"/>
      <c r="C53" s="124"/>
      <c r="D53" s="124" t="s">
        <v>299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25">
      <c r="A54" s="112"/>
      <c r="B54" s="120"/>
      <c r="C54" s="124"/>
      <c r="D54" s="124" t="s">
        <v>300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25">
      <c r="A55" s="112"/>
      <c r="B55" s="120"/>
      <c r="C55" s="124"/>
      <c r="D55" s="124" t="s">
        <v>301</v>
      </c>
      <c r="E55" s="124"/>
      <c r="F55" s="127">
        <v>50</v>
      </c>
      <c r="G55" s="127">
        <f t="shared" si="5"/>
        <v>0</v>
      </c>
      <c r="I55" s="130"/>
      <c r="J55" s="117"/>
    </row>
    <row r="56" spans="1:10" x14ac:dyDescent="0.25">
      <c r="A56" s="112"/>
      <c r="B56" s="120"/>
      <c r="C56" s="124"/>
      <c r="D56" s="124" t="s">
        <v>302</v>
      </c>
      <c r="E56" s="124"/>
      <c r="F56" s="127">
        <v>75</v>
      </c>
      <c r="G56" s="127">
        <f t="shared" si="5"/>
        <v>0</v>
      </c>
      <c r="I56" s="130"/>
      <c r="J56" s="117"/>
    </row>
    <row r="57" spans="1:10" x14ac:dyDescent="0.25">
      <c r="A57" s="112"/>
      <c r="B57" s="120"/>
      <c r="C57" s="124"/>
      <c r="D57" s="124" t="s">
        <v>303</v>
      </c>
      <c r="E57" s="124"/>
      <c r="F57" s="127">
        <v>60</v>
      </c>
      <c r="G57" s="127">
        <f t="shared" si="5"/>
        <v>0</v>
      </c>
      <c r="I57" s="130"/>
      <c r="J57" s="117"/>
    </row>
    <row r="58" spans="1:10" x14ac:dyDescent="0.25">
      <c r="A58" s="113"/>
      <c r="B58" s="166" t="s">
        <v>247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25">
      <c r="B59" s="122"/>
      <c r="C59" s="124">
        <f>SUM(C7:C58)</f>
        <v>768.21</v>
      </c>
      <c r="D59" s="124"/>
      <c r="E59" s="124">
        <f>SUM(E49+E40+E31+E22+E8)</f>
        <v>412.77</v>
      </c>
      <c r="F59" s="124"/>
      <c r="G59" s="127">
        <f>SUM(G7:G50)</f>
        <v>54511.200000000012</v>
      </c>
      <c r="I59" s="130">
        <f>SUM(I7:I49)</f>
        <v>38716.78</v>
      </c>
    </row>
    <row r="60" spans="1:10" x14ac:dyDescent="0.25">
      <c r="B60" s="122"/>
      <c r="C60" s="124"/>
      <c r="D60" s="124"/>
      <c r="E60" s="124"/>
      <c r="F60" s="124"/>
      <c r="G60" s="124"/>
      <c r="I60" s="122"/>
    </row>
    <row r="61" spans="1:10" x14ac:dyDescent="0.25">
      <c r="A61" s="112" t="s">
        <v>222</v>
      </c>
      <c r="B61" s="120" t="s">
        <v>225</v>
      </c>
      <c r="C61" s="124"/>
      <c r="D61" s="124"/>
      <c r="E61" s="124"/>
      <c r="F61" s="124"/>
      <c r="G61" s="124"/>
      <c r="I61" s="122"/>
    </row>
    <row r="62" spans="1:10" x14ac:dyDescent="0.25">
      <c r="A62" s="188" t="s">
        <v>223</v>
      </c>
      <c r="B62" s="189" t="s">
        <v>224</v>
      </c>
      <c r="C62" s="197">
        <v>118.41</v>
      </c>
      <c r="D62" s="197"/>
      <c r="E62" s="197">
        <f>SUM(E63:E70)</f>
        <v>118.41</v>
      </c>
      <c r="F62" s="198"/>
      <c r="G62" s="193">
        <f>SUM(G63:G70)</f>
        <v>6299.5</v>
      </c>
      <c r="H62" s="192"/>
      <c r="I62" s="193">
        <v>3180.94</v>
      </c>
      <c r="J62" s="194">
        <f>G62-I62</f>
        <v>3118.56</v>
      </c>
    </row>
    <row r="63" spans="1:10" x14ac:dyDescent="0.25">
      <c r="A63" s="112"/>
      <c r="B63" s="120"/>
      <c r="C63" s="122"/>
      <c r="D63" s="124" t="s">
        <v>296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25">
      <c r="A64" s="112"/>
      <c r="B64" s="120"/>
      <c r="C64" s="124"/>
      <c r="D64" s="124" t="s">
        <v>297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25">
      <c r="A65" s="112"/>
      <c r="B65" s="120"/>
      <c r="C65" s="124"/>
      <c r="D65" s="124" t="s">
        <v>298</v>
      </c>
      <c r="E65" s="124">
        <v>37.22</v>
      </c>
      <c r="F65" s="127">
        <v>50</v>
      </c>
      <c r="G65" s="130">
        <f t="shared" si="6"/>
        <v>1861</v>
      </c>
      <c r="I65" s="130"/>
      <c r="J65" s="117"/>
    </row>
    <row r="66" spans="1:10" x14ac:dyDescent="0.25">
      <c r="A66" s="112"/>
      <c r="B66" s="120"/>
      <c r="C66" s="124"/>
      <c r="D66" s="124" t="s">
        <v>299</v>
      </c>
      <c r="E66" s="124">
        <v>30.07</v>
      </c>
      <c r="F66" s="127">
        <v>50</v>
      </c>
      <c r="G66" s="130">
        <f t="shared" si="6"/>
        <v>1503.5</v>
      </c>
      <c r="I66" s="130"/>
      <c r="J66" s="117"/>
    </row>
    <row r="67" spans="1:10" x14ac:dyDescent="0.25">
      <c r="A67" s="112"/>
      <c r="B67" s="120"/>
      <c r="C67" s="124"/>
      <c r="D67" s="124" t="s">
        <v>300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25">
      <c r="A68" s="112"/>
      <c r="B68" s="120"/>
      <c r="C68" s="124"/>
      <c r="D68" s="124" t="s">
        <v>301</v>
      </c>
      <c r="E68" s="124"/>
      <c r="F68" s="127">
        <v>50</v>
      </c>
      <c r="G68" s="130">
        <f t="shared" si="6"/>
        <v>0</v>
      </c>
      <c r="I68" s="130"/>
      <c r="J68" s="117"/>
    </row>
    <row r="69" spans="1:10" x14ac:dyDescent="0.25">
      <c r="A69" s="112"/>
      <c r="B69" s="120"/>
      <c r="C69" s="124"/>
      <c r="D69" s="124" t="s">
        <v>302</v>
      </c>
      <c r="E69" s="124"/>
      <c r="F69" s="127">
        <v>75</v>
      </c>
      <c r="G69" s="130">
        <f t="shared" si="6"/>
        <v>0</v>
      </c>
      <c r="I69" s="130"/>
      <c r="J69" s="117"/>
    </row>
    <row r="70" spans="1:10" x14ac:dyDescent="0.25">
      <c r="A70" s="113"/>
      <c r="B70" s="121"/>
      <c r="C70" s="125"/>
      <c r="D70" s="125" t="s">
        <v>303</v>
      </c>
      <c r="E70" s="125"/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25">
      <c r="A71" s="112"/>
      <c r="B71" s="120"/>
      <c r="C71" s="124">
        <f>SUM(C62)</f>
        <v>118.41</v>
      </c>
      <c r="D71" s="124"/>
      <c r="E71" s="124">
        <f>SUM(E62)</f>
        <v>118.41</v>
      </c>
      <c r="F71" s="124"/>
      <c r="G71" s="127">
        <f>SUM(G62)</f>
        <v>6299.5</v>
      </c>
      <c r="I71" s="130">
        <f>SUM(I62)</f>
        <v>3180.94</v>
      </c>
    </row>
    <row r="72" spans="1:10" x14ac:dyDescent="0.25">
      <c r="A72" s="112"/>
      <c r="B72" s="120"/>
      <c r="C72" s="124"/>
      <c r="D72" s="124"/>
      <c r="E72" s="124"/>
      <c r="F72" s="124"/>
      <c r="G72" s="127"/>
      <c r="I72" s="130"/>
    </row>
    <row r="73" spans="1:10" x14ac:dyDescent="0.25">
      <c r="A73" s="112" t="s">
        <v>268</v>
      </c>
      <c r="B73" s="120" t="s">
        <v>271</v>
      </c>
      <c r="C73" s="124"/>
      <c r="D73" s="124"/>
      <c r="E73" s="124"/>
      <c r="F73" s="124"/>
      <c r="G73" s="124"/>
      <c r="I73" s="122"/>
    </row>
    <row r="74" spans="1:10" x14ac:dyDescent="0.25">
      <c r="A74" s="188" t="s">
        <v>84</v>
      </c>
      <c r="B74" s="189" t="s">
        <v>85</v>
      </c>
      <c r="C74" s="197">
        <v>176.03</v>
      </c>
      <c r="D74" s="197"/>
      <c r="E74" s="197">
        <f>SUM(E75:E82)</f>
        <v>176.02999999999997</v>
      </c>
      <c r="F74" s="198"/>
      <c r="G74" s="193">
        <f>SUM(G75:G82)</f>
        <v>9228.1</v>
      </c>
      <c r="H74" s="192"/>
      <c r="I74" s="193">
        <v>4789.3900000000003</v>
      </c>
      <c r="J74" s="194">
        <f>G74-I74</f>
        <v>4438.71</v>
      </c>
    </row>
    <row r="75" spans="1:10" x14ac:dyDescent="0.25">
      <c r="A75" s="112"/>
      <c r="B75" s="120"/>
      <c r="C75" s="124"/>
      <c r="D75" s="124" t="s">
        <v>296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25">
      <c r="A76" s="112"/>
      <c r="B76" s="120"/>
      <c r="C76" s="124"/>
      <c r="D76" s="124" t="s">
        <v>297</v>
      </c>
      <c r="E76" s="124">
        <v>25.51</v>
      </c>
      <c r="F76" s="127">
        <v>60</v>
      </c>
      <c r="G76" s="127">
        <f t="shared" ref="G76:G82" si="7">F76*E76</f>
        <v>1530.6000000000001</v>
      </c>
      <c r="I76" s="130"/>
      <c r="J76" s="117"/>
    </row>
    <row r="77" spans="1:10" x14ac:dyDescent="0.25">
      <c r="A77" s="112"/>
      <c r="B77" s="120"/>
      <c r="C77" s="124"/>
      <c r="D77" s="124" t="s">
        <v>298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25">
      <c r="A78" s="112"/>
      <c r="B78" s="120"/>
      <c r="C78" s="124"/>
      <c r="D78" s="124" t="s">
        <v>299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25">
      <c r="A79" s="112"/>
      <c r="B79" s="120"/>
      <c r="C79" s="124"/>
      <c r="D79" s="124" t="s">
        <v>300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25">
      <c r="A80" s="112"/>
      <c r="B80" s="120"/>
      <c r="C80" s="124"/>
      <c r="D80" s="124" t="s">
        <v>301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25">
      <c r="A81" s="112"/>
      <c r="B81" s="120"/>
      <c r="C81" s="124"/>
      <c r="D81" s="124" t="s">
        <v>302</v>
      </c>
      <c r="E81" s="124"/>
      <c r="F81" s="127">
        <v>75</v>
      </c>
      <c r="G81" s="127">
        <f t="shared" si="7"/>
        <v>0</v>
      </c>
      <c r="I81" s="130"/>
      <c r="J81" s="117"/>
    </row>
    <row r="82" spans="1:10" x14ac:dyDescent="0.25">
      <c r="A82" s="113"/>
      <c r="B82" s="121"/>
      <c r="C82" s="125"/>
      <c r="D82" s="125" t="s">
        <v>303</v>
      </c>
      <c r="E82" s="125"/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25">
      <c r="A83" s="112"/>
      <c r="B83" s="120"/>
      <c r="C83" s="124">
        <f>SUM(C74)</f>
        <v>176.03</v>
      </c>
      <c r="D83" s="124"/>
      <c r="E83" s="124">
        <f>SUM(E74)</f>
        <v>176.02999999999997</v>
      </c>
      <c r="F83" s="124"/>
      <c r="G83" s="127">
        <f>SUM(G74)</f>
        <v>9228.1</v>
      </c>
      <c r="I83" s="130">
        <f>SUM(I74)</f>
        <v>4789.3900000000003</v>
      </c>
    </row>
    <row r="84" spans="1:10" x14ac:dyDescent="0.2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25">
      <c r="A85" s="112" t="s">
        <v>211</v>
      </c>
      <c r="B85" s="120" t="s">
        <v>212</v>
      </c>
      <c r="C85" s="124"/>
      <c r="D85" s="124"/>
      <c r="E85" s="124"/>
      <c r="F85" s="124"/>
      <c r="G85" s="124"/>
      <c r="I85" s="122"/>
    </row>
    <row r="86" spans="1:10" hidden="1" x14ac:dyDescent="0.2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2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2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25">
      <c r="A89" s="112" t="s">
        <v>211</v>
      </c>
      <c r="B89" s="120" t="s">
        <v>212</v>
      </c>
      <c r="C89" s="124"/>
      <c r="D89" s="124"/>
      <c r="E89" s="124"/>
      <c r="F89" s="124"/>
      <c r="G89" s="124"/>
      <c r="I89" s="122"/>
    </row>
    <row r="90" spans="1:10" hidden="1" x14ac:dyDescent="0.2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2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25">
      <c r="B92" s="122"/>
      <c r="C92" s="124"/>
      <c r="D92" s="124"/>
      <c r="E92" s="124"/>
      <c r="F92" s="124"/>
      <c r="G92" s="124"/>
      <c r="I92" s="122"/>
    </row>
    <row r="93" spans="1:10" hidden="1" x14ac:dyDescent="0.25"/>
    <row r="94" spans="1:10" x14ac:dyDescent="0.25">
      <c r="C94">
        <f>C83+C71+C59</f>
        <v>1062.6500000000001</v>
      </c>
      <c r="E94">
        <f>E83+E71+E59</f>
        <v>707.20999999999992</v>
      </c>
      <c r="G94" s="117">
        <f>SUM(G83+G71+G59)</f>
        <v>70038.800000000017</v>
      </c>
      <c r="I94" s="117">
        <f>SUM(I83+I71+I59)</f>
        <v>46687.11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0A29-AAD7-4586-AAD9-325008283403}">
  <sheetPr>
    <pageSetUpPr fitToPage="1"/>
  </sheetPr>
  <dimension ref="A1:J94"/>
  <sheetViews>
    <sheetView topLeftCell="A21" zoomScaleNormal="100" workbookViewId="0">
      <selection activeCell="B36" sqref="B36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7" width="21.7109375" customWidth="1"/>
    <col min="8" max="8" width="2.7109375" customWidth="1"/>
    <col min="9" max="10" width="21.7109375" customWidth="1"/>
  </cols>
  <sheetData>
    <row r="1" spans="1:10" ht="18.75" x14ac:dyDescent="0.3">
      <c r="A1" s="132" t="s">
        <v>220</v>
      </c>
    </row>
    <row r="2" spans="1:10" x14ac:dyDescent="0.25">
      <c r="A2" s="134" t="s">
        <v>221</v>
      </c>
    </row>
    <row r="3" spans="1:10" x14ac:dyDescent="0.25">
      <c r="A3" t="s">
        <v>217</v>
      </c>
      <c r="B3" s="133">
        <v>46157</v>
      </c>
    </row>
    <row r="5" spans="1:10" x14ac:dyDescent="0.25">
      <c r="A5" s="115" t="s">
        <v>191</v>
      </c>
      <c r="B5" s="119" t="s">
        <v>8</v>
      </c>
      <c r="C5" s="123" t="s">
        <v>213</v>
      </c>
      <c r="D5" s="123" t="s">
        <v>272</v>
      </c>
      <c r="E5" s="123" t="s">
        <v>192</v>
      </c>
      <c r="F5" s="126" t="s">
        <v>219</v>
      </c>
      <c r="G5" s="123" t="s">
        <v>214</v>
      </c>
      <c r="H5" s="114"/>
      <c r="I5" s="129" t="s">
        <v>215</v>
      </c>
      <c r="J5" s="116" t="s">
        <v>216</v>
      </c>
    </row>
    <row r="6" spans="1:10" x14ac:dyDescent="0.25">
      <c r="A6" s="112" t="s">
        <v>193</v>
      </c>
      <c r="B6" s="120" t="s">
        <v>202</v>
      </c>
      <c r="C6" s="124"/>
      <c r="D6" s="124"/>
      <c r="E6" s="124"/>
      <c r="F6" s="124"/>
      <c r="G6" s="124"/>
      <c r="I6" s="122"/>
    </row>
    <row r="7" spans="1:10" x14ac:dyDescent="0.25">
      <c r="A7" s="180" t="s">
        <v>194</v>
      </c>
      <c r="B7" s="181" t="s">
        <v>203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25">
      <c r="A8" s="180" t="s">
        <v>195</v>
      </c>
      <c r="B8" s="181" t="s">
        <v>204</v>
      </c>
      <c r="C8" s="190">
        <v>194.27</v>
      </c>
      <c r="D8" s="182"/>
      <c r="E8" s="190">
        <f>SUM(E9:E10)</f>
        <v>194.27</v>
      </c>
      <c r="F8" s="199">
        <v>85</v>
      </c>
      <c r="G8" s="184">
        <f>SUM(G9:G10)</f>
        <v>16512.95</v>
      </c>
      <c r="H8" s="185"/>
      <c r="I8" s="186">
        <v>13573.64</v>
      </c>
      <c r="J8" s="224">
        <f>(G8+G11)-(I8+I11)</f>
        <v>3074.2000000000007</v>
      </c>
    </row>
    <row r="9" spans="1:10" x14ac:dyDescent="0.25">
      <c r="A9" s="112"/>
      <c r="B9" s="120"/>
      <c r="C9" s="124"/>
      <c r="D9" s="124" t="s">
        <v>273</v>
      </c>
      <c r="E9" s="124">
        <v>194.27</v>
      </c>
      <c r="F9" s="127">
        <v>85</v>
      </c>
      <c r="G9" s="127">
        <f>F9*E9</f>
        <v>16512.95</v>
      </c>
      <c r="I9" s="130"/>
      <c r="J9" s="225"/>
    </row>
    <row r="10" spans="1:10" x14ac:dyDescent="0.25">
      <c r="A10" s="112"/>
      <c r="B10" s="120"/>
      <c r="C10" s="124"/>
      <c r="D10" s="124" t="s">
        <v>275</v>
      </c>
      <c r="E10" s="124">
        <v>0</v>
      </c>
      <c r="F10" s="127">
        <v>90</v>
      </c>
      <c r="G10" s="127"/>
      <c r="I10" s="130"/>
      <c r="J10" s="225"/>
    </row>
    <row r="11" spans="1:10" x14ac:dyDescent="0.25">
      <c r="A11" s="180" t="s">
        <v>196</v>
      </c>
      <c r="B11" s="181" t="s">
        <v>205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86">
        <v>162.11000000000001</v>
      </c>
      <c r="J11" s="226"/>
    </row>
    <row r="12" spans="1:10" x14ac:dyDescent="0.25">
      <c r="A12" s="112"/>
      <c r="B12" s="120"/>
      <c r="C12" s="124"/>
      <c r="D12" s="124" t="s">
        <v>276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25">
      <c r="A13" s="112"/>
      <c r="B13" s="120"/>
      <c r="C13" s="124"/>
      <c r="D13" s="124" t="s">
        <v>282</v>
      </c>
      <c r="E13" s="124">
        <v>0</v>
      </c>
      <c r="F13" s="127">
        <v>60</v>
      </c>
      <c r="G13" s="127">
        <f t="shared" ref="G13:G19" si="0">F13*E13</f>
        <v>0</v>
      </c>
      <c r="I13" s="130"/>
      <c r="J13" s="117"/>
    </row>
    <row r="14" spans="1:10" x14ac:dyDescent="0.25">
      <c r="A14" s="112"/>
      <c r="B14" s="120"/>
      <c r="C14" s="124"/>
      <c r="D14" s="124" t="s">
        <v>274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25">
      <c r="A15" s="112"/>
      <c r="B15" s="120"/>
      <c r="C15" s="124"/>
      <c r="D15" s="124" t="s">
        <v>277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25">
      <c r="A16" s="112"/>
      <c r="B16" s="120"/>
      <c r="C16" s="124"/>
      <c r="D16" s="124" t="s">
        <v>278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25">
      <c r="A17" s="112"/>
      <c r="B17" s="120"/>
      <c r="C17" s="124"/>
      <c r="D17" s="124" t="s">
        <v>279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25">
      <c r="A18" s="112"/>
      <c r="B18" s="120"/>
      <c r="C18" s="124"/>
      <c r="D18" s="124" t="s">
        <v>280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25">
      <c r="A19" s="112"/>
      <c r="B19" s="120"/>
      <c r="C19" s="124"/>
      <c r="D19" s="124" t="s">
        <v>281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25">
      <c r="A20" s="180" t="s">
        <v>197</v>
      </c>
      <c r="B20" s="181" t="s">
        <v>206</v>
      </c>
      <c r="C20" s="190">
        <v>184.5</v>
      </c>
      <c r="D20" s="182"/>
      <c r="E20" s="182">
        <v>0</v>
      </c>
      <c r="F20" s="184">
        <v>0</v>
      </c>
      <c r="G20" s="184">
        <f t="shared" ref="G20:G21" si="1">F20*E20</f>
        <v>0</v>
      </c>
      <c r="H20" s="185"/>
      <c r="I20" s="186">
        <v>11374.58</v>
      </c>
      <c r="J20" s="187">
        <f>G20-I20</f>
        <v>-11374.58</v>
      </c>
    </row>
    <row r="21" spans="1:10" x14ac:dyDescent="0.25">
      <c r="A21" s="180" t="s">
        <v>198</v>
      </c>
      <c r="B21" s="181" t="s">
        <v>207</v>
      </c>
      <c r="C21" s="190">
        <v>116</v>
      </c>
      <c r="D21" s="182"/>
      <c r="E21" s="182">
        <v>0</v>
      </c>
      <c r="F21" s="184">
        <v>0</v>
      </c>
      <c r="G21" s="184">
        <f t="shared" si="1"/>
        <v>0</v>
      </c>
      <c r="H21" s="185"/>
      <c r="I21" s="186">
        <v>6732.54</v>
      </c>
      <c r="J21" s="187">
        <f t="shared" ref="J21:J49" si="2">G21-I21</f>
        <v>-6732.54</v>
      </c>
    </row>
    <row r="22" spans="1:10" x14ac:dyDescent="0.25">
      <c r="A22" s="188" t="s">
        <v>199</v>
      </c>
      <c r="B22" s="189" t="s">
        <v>208</v>
      </c>
      <c r="C22" s="190">
        <v>51.76</v>
      </c>
      <c r="D22" s="190"/>
      <c r="E22" s="190">
        <f>SUM(E23:E30)</f>
        <v>51.76</v>
      </c>
      <c r="F22" s="191"/>
      <c r="G22" s="191">
        <f>SUM(G23:G30)</f>
        <v>2664.7999999999997</v>
      </c>
      <c r="H22" s="192"/>
      <c r="I22" s="193">
        <v>1316.48</v>
      </c>
      <c r="J22" s="194">
        <f t="shared" si="2"/>
        <v>1348.3199999999997</v>
      </c>
    </row>
    <row r="23" spans="1:10" x14ac:dyDescent="0.25">
      <c r="A23" s="112"/>
      <c r="B23" s="120"/>
      <c r="C23" s="124"/>
      <c r="D23" s="124" t="s">
        <v>276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25">
      <c r="A24" s="112"/>
      <c r="B24" s="120"/>
      <c r="C24" s="124"/>
      <c r="D24" s="124" t="s">
        <v>282</v>
      </c>
      <c r="E24" s="124">
        <v>7.68</v>
      </c>
      <c r="F24" s="127">
        <v>60</v>
      </c>
      <c r="G24" s="127">
        <f t="shared" ref="G24:G30" si="3">F24*E24</f>
        <v>460.79999999999995</v>
      </c>
      <c r="I24" s="130"/>
      <c r="J24" s="117"/>
    </row>
    <row r="25" spans="1:10" x14ac:dyDescent="0.25">
      <c r="A25" s="112"/>
      <c r="B25" s="120"/>
      <c r="C25" s="124"/>
      <c r="D25" s="124" t="s">
        <v>274</v>
      </c>
      <c r="E25" s="124">
        <v>16.09</v>
      </c>
      <c r="F25" s="127">
        <v>50</v>
      </c>
      <c r="G25" s="127">
        <f t="shared" si="3"/>
        <v>804.5</v>
      </c>
      <c r="I25" s="130"/>
      <c r="J25" s="117"/>
    </row>
    <row r="26" spans="1:10" x14ac:dyDescent="0.25">
      <c r="A26" s="112"/>
      <c r="B26" s="120"/>
      <c r="C26" s="124"/>
      <c r="D26" s="124" t="s">
        <v>277</v>
      </c>
      <c r="E26" s="124">
        <v>7.58</v>
      </c>
      <c r="F26" s="127">
        <v>50</v>
      </c>
      <c r="G26" s="127">
        <f t="shared" si="3"/>
        <v>379</v>
      </c>
      <c r="I26" s="130"/>
      <c r="J26" s="117"/>
    </row>
    <row r="27" spans="1:10" x14ac:dyDescent="0.25">
      <c r="A27" s="112"/>
      <c r="B27" s="120"/>
      <c r="C27" s="124"/>
      <c r="D27" s="124" t="s">
        <v>278</v>
      </c>
      <c r="E27" s="124">
        <v>3.76</v>
      </c>
      <c r="F27" s="127">
        <v>50</v>
      </c>
      <c r="G27" s="127">
        <f t="shared" si="3"/>
        <v>188</v>
      </c>
      <c r="I27" s="130"/>
      <c r="J27" s="117"/>
    </row>
    <row r="28" spans="1:10" x14ac:dyDescent="0.25">
      <c r="A28" s="112"/>
      <c r="B28" s="120"/>
      <c r="C28" s="124"/>
      <c r="D28" s="124" t="s">
        <v>279</v>
      </c>
      <c r="E28" s="124">
        <v>16.649999999999999</v>
      </c>
      <c r="F28" s="127">
        <v>50</v>
      </c>
      <c r="G28" s="127">
        <f t="shared" si="3"/>
        <v>832.49999999999989</v>
      </c>
      <c r="I28" s="130"/>
      <c r="J28" s="117"/>
    </row>
    <row r="29" spans="1:10" x14ac:dyDescent="0.25">
      <c r="A29" s="112"/>
      <c r="B29" s="120"/>
      <c r="C29" s="124"/>
      <c r="D29" s="124" t="s">
        <v>280</v>
      </c>
      <c r="E29" s="124">
        <v>0</v>
      </c>
      <c r="F29" s="127">
        <v>75</v>
      </c>
      <c r="G29" s="127">
        <f t="shared" si="3"/>
        <v>0</v>
      </c>
      <c r="I29" s="130"/>
      <c r="J29" s="117"/>
    </row>
    <row r="30" spans="1:10" x14ac:dyDescent="0.25">
      <c r="A30" s="112"/>
      <c r="B30" s="120"/>
      <c r="C30" s="124"/>
      <c r="D30" s="124" t="s">
        <v>281</v>
      </c>
      <c r="E30" s="124">
        <v>0</v>
      </c>
      <c r="F30" s="127">
        <v>60</v>
      </c>
      <c r="G30" s="127">
        <f t="shared" si="3"/>
        <v>0</v>
      </c>
      <c r="I30" s="130"/>
      <c r="J30" s="117"/>
    </row>
    <row r="31" spans="1:10" x14ac:dyDescent="0.25">
      <c r="A31" s="188" t="s">
        <v>284</v>
      </c>
      <c r="B31" s="195" t="s">
        <v>266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2"/>
        <v>200.88999999999993</v>
      </c>
    </row>
    <row r="32" spans="1:10" x14ac:dyDescent="0.25">
      <c r="A32" s="112"/>
      <c r="B32" s="170"/>
      <c r="C32" s="124"/>
      <c r="D32" s="124" t="s">
        <v>276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25">
      <c r="A33" s="112"/>
      <c r="B33" s="170"/>
      <c r="C33" s="124"/>
      <c r="D33" s="124" t="s">
        <v>282</v>
      </c>
      <c r="E33" s="124"/>
      <c r="F33" s="127">
        <v>60</v>
      </c>
      <c r="G33" s="127">
        <f t="shared" ref="G33:G39" si="4">F33*E33</f>
        <v>0</v>
      </c>
      <c r="I33" s="130"/>
      <c r="J33" s="117"/>
    </row>
    <row r="34" spans="1:10" x14ac:dyDescent="0.25">
      <c r="A34" s="112"/>
      <c r="B34" s="170"/>
      <c r="C34" s="124"/>
      <c r="D34" s="124" t="s">
        <v>274</v>
      </c>
      <c r="E34" s="124"/>
      <c r="F34" s="127">
        <v>50</v>
      </c>
      <c r="G34" s="127">
        <f t="shared" si="4"/>
        <v>0</v>
      </c>
      <c r="I34" s="130"/>
      <c r="J34" s="117"/>
    </row>
    <row r="35" spans="1:10" x14ac:dyDescent="0.25">
      <c r="A35" s="112"/>
      <c r="B35" s="170"/>
      <c r="C35" s="124"/>
      <c r="D35" s="124" t="s">
        <v>277</v>
      </c>
      <c r="E35" s="124"/>
      <c r="F35" s="127">
        <v>50</v>
      </c>
      <c r="G35" s="127">
        <f t="shared" si="4"/>
        <v>0</v>
      </c>
      <c r="I35" s="130"/>
      <c r="J35" s="117"/>
    </row>
    <row r="36" spans="1:10" x14ac:dyDescent="0.25">
      <c r="A36" s="112"/>
      <c r="B36" s="170"/>
      <c r="C36" s="124"/>
      <c r="D36" s="124" t="s">
        <v>278</v>
      </c>
      <c r="E36" s="124">
        <v>2</v>
      </c>
      <c r="F36" s="127">
        <v>50</v>
      </c>
      <c r="G36" s="127">
        <f t="shared" si="4"/>
        <v>100</v>
      </c>
      <c r="I36" s="130"/>
      <c r="J36" s="117"/>
    </row>
    <row r="37" spans="1:10" x14ac:dyDescent="0.25">
      <c r="A37" s="112"/>
      <c r="B37" s="170"/>
      <c r="C37" s="124"/>
      <c r="D37" s="124" t="s">
        <v>279</v>
      </c>
      <c r="E37" s="124">
        <v>4.32</v>
      </c>
      <c r="F37" s="127">
        <v>50</v>
      </c>
      <c r="G37" s="127">
        <f t="shared" si="4"/>
        <v>216</v>
      </c>
      <c r="I37" s="130"/>
      <c r="J37" s="117"/>
    </row>
    <row r="38" spans="1:10" x14ac:dyDescent="0.25">
      <c r="A38" s="112"/>
      <c r="B38" s="170"/>
      <c r="C38" s="124"/>
      <c r="D38" s="124" t="s">
        <v>280</v>
      </c>
      <c r="E38" s="124"/>
      <c r="F38" s="127">
        <v>75</v>
      </c>
      <c r="G38" s="127">
        <f t="shared" si="4"/>
        <v>0</v>
      </c>
      <c r="I38" s="130"/>
      <c r="J38" s="117"/>
    </row>
    <row r="39" spans="1:10" x14ac:dyDescent="0.25">
      <c r="A39" s="112"/>
      <c r="B39" s="170"/>
      <c r="C39" s="124"/>
      <c r="D39" s="124" t="s">
        <v>281</v>
      </c>
      <c r="E39" s="124"/>
      <c r="F39" s="127">
        <v>60</v>
      </c>
      <c r="G39" s="127">
        <f t="shared" si="4"/>
        <v>0</v>
      </c>
      <c r="I39" s="130"/>
      <c r="J39" s="117"/>
    </row>
    <row r="40" spans="1:10" x14ac:dyDescent="0.25">
      <c r="A40" s="188" t="s">
        <v>200</v>
      </c>
      <c r="B40" s="189" t="s">
        <v>209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2"/>
        <v>1739.7299999999996</v>
      </c>
    </row>
    <row r="41" spans="1:10" x14ac:dyDescent="0.25">
      <c r="A41" s="112"/>
      <c r="B41" s="120"/>
      <c r="C41" s="124"/>
      <c r="D41" s="124" t="s">
        <v>276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25">
      <c r="A42" s="112"/>
      <c r="B42" s="120"/>
      <c r="C42" s="200" t="s">
        <v>283</v>
      </c>
      <c r="D42" s="124" t="s">
        <v>282</v>
      </c>
      <c r="E42" s="124">
        <v>24.99</v>
      </c>
      <c r="F42" s="127">
        <v>60</v>
      </c>
      <c r="G42" s="127">
        <f t="shared" ref="G42:G48" si="5">F42*E42</f>
        <v>1499.3999999999999</v>
      </c>
      <c r="I42" s="130"/>
      <c r="J42" s="117"/>
    </row>
    <row r="43" spans="1:10" x14ac:dyDescent="0.25">
      <c r="A43" s="112"/>
      <c r="B43" s="120"/>
      <c r="C43" s="124"/>
      <c r="D43" s="124" t="s">
        <v>274</v>
      </c>
      <c r="E43" s="124">
        <v>27.99</v>
      </c>
      <c r="F43" s="127">
        <v>50</v>
      </c>
      <c r="G43" s="127">
        <f t="shared" si="5"/>
        <v>1399.5</v>
      </c>
      <c r="I43" s="130"/>
      <c r="J43" s="117"/>
    </row>
    <row r="44" spans="1:10" x14ac:dyDescent="0.25">
      <c r="A44" s="112"/>
      <c r="B44" s="120"/>
      <c r="C44" s="124"/>
      <c r="D44" s="124" t="s">
        <v>277</v>
      </c>
      <c r="E44" s="124">
        <v>8.69</v>
      </c>
      <c r="F44" s="127">
        <v>50</v>
      </c>
      <c r="G44" s="127">
        <f t="shared" si="5"/>
        <v>434.5</v>
      </c>
      <c r="I44" s="130"/>
      <c r="J44" s="117"/>
    </row>
    <row r="45" spans="1:10" x14ac:dyDescent="0.25">
      <c r="A45" s="112"/>
      <c r="B45" s="120"/>
      <c r="C45" s="124"/>
      <c r="D45" s="124" t="s">
        <v>278</v>
      </c>
      <c r="E45" s="124">
        <v>1</v>
      </c>
      <c r="F45" s="127">
        <v>50</v>
      </c>
      <c r="G45" s="127">
        <f t="shared" si="5"/>
        <v>50</v>
      </c>
      <c r="I45" s="130"/>
      <c r="J45" s="117"/>
    </row>
    <row r="46" spans="1:10" x14ac:dyDescent="0.25">
      <c r="A46" s="112"/>
      <c r="B46" s="120"/>
      <c r="C46" s="124"/>
      <c r="D46" s="124" t="s">
        <v>279</v>
      </c>
      <c r="E46" s="124"/>
      <c r="F46" s="127">
        <v>50</v>
      </c>
      <c r="G46" s="127">
        <f t="shared" si="5"/>
        <v>0</v>
      </c>
      <c r="I46" s="130"/>
      <c r="J46" s="117"/>
    </row>
    <row r="47" spans="1:10" x14ac:dyDescent="0.25">
      <c r="A47" s="112"/>
      <c r="B47" s="120"/>
      <c r="C47" s="124"/>
      <c r="D47" s="124" t="s">
        <v>280</v>
      </c>
      <c r="E47" s="124"/>
      <c r="F47" s="127"/>
      <c r="G47" s="127">
        <f t="shared" si="5"/>
        <v>0</v>
      </c>
      <c r="I47" s="130"/>
      <c r="J47" s="117"/>
    </row>
    <row r="48" spans="1:10" x14ac:dyDescent="0.25">
      <c r="A48" s="112"/>
      <c r="B48" s="120"/>
      <c r="C48" s="124"/>
      <c r="D48" s="124" t="s">
        <v>281</v>
      </c>
      <c r="E48" s="124">
        <v>4.57</v>
      </c>
      <c r="F48" s="179">
        <v>60</v>
      </c>
      <c r="G48" s="127">
        <f t="shared" si="5"/>
        <v>274.20000000000005</v>
      </c>
      <c r="I48" s="130"/>
      <c r="J48" s="117"/>
    </row>
    <row r="49" spans="1:10" x14ac:dyDescent="0.25">
      <c r="A49" s="188" t="s">
        <v>201</v>
      </c>
      <c r="B49" s="189" t="s">
        <v>210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2"/>
        <v>1662.3000000000002</v>
      </c>
    </row>
    <row r="50" spans="1:10" x14ac:dyDescent="0.25">
      <c r="A50" s="112"/>
      <c r="B50" s="120"/>
      <c r="C50" s="124"/>
      <c r="D50" s="124" t="s">
        <v>276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25">
      <c r="A51" s="112"/>
      <c r="B51" s="120"/>
      <c r="C51" s="124"/>
      <c r="D51" s="124" t="s">
        <v>282</v>
      </c>
      <c r="E51" s="124">
        <v>16.440000000000001</v>
      </c>
      <c r="F51" s="127">
        <v>60</v>
      </c>
      <c r="G51" s="127">
        <f t="shared" ref="G51:G57" si="6">F51*E51</f>
        <v>986.40000000000009</v>
      </c>
      <c r="I51" s="130"/>
      <c r="J51" s="117"/>
    </row>
    <row r="52" spans="1:10" x14ac:dyDescent="0.25">
      <c r="A52" s="112"/>
      <c r="B52" s="120"/>
      <c r="C52" s="124"/>
      <c r="D52" s="124" t="s">
        <v>274</v>
      </c>
      <c r="E52" s="124">
        <v>14.49</v>
      </c>
      <c r="F52" s="127">
        <v>50</v>
      </c>
      <c r="G52" s="127">
        <f t="shared" si="6"/>
        <v>724.5</v>
      </c>
      <c r="I52" s="130"/>
      <c r="J52" s="117"/>
    </row>
    <row r="53" spans="1:10" x14ac:dyDescent="0.25">
      <c r="A53" s="112"/>
      <c r="B53" s="120"/>
      <c r="C53" s="124"/>
      <c r="D53" s="124" t="s">
        <v>277</v>
      </c>
      <c r="E53" s="124">
        <v>24.59</v>
      </c>
      <c r="F53" s="127">
        <v>50</v>
      </c>
      <c r="G53" s="127">
        <f t="shared" si="6"/>
        <v>1229.5</v>
      </c>
      <c r="I53" s="130"/>
      <c r="J53" s="117"/>
    </row>
    <row r="54" spans="1:10" x14ac:dyDescent="0.25">
      <c r="A54" s="112"/>
      <c r="B54" s="120"/>
      <c r="C54" s="124"/>
      <c r="D54" s="124" t="s">
        <v>278</v>
      </c>
      <c r="E54" s="124">
        <v>7.45</v>
      </c>
      <c r="F54" s="127">
        <v>50</v>
      </c>
      <c r="G54" s="127">
        <f t="shared" si="6"/>
        <v>372.5</v>
      </c>
      <c r="I54" s="130"/>
      <c r="J54" s="117"/>
    </row>
    <row r="55" spans="1:10" x14ac:dyDescent="0.25">
      <c r="A55" s="112"/>
      <c r="B55" s="120"/>
      <c r="C55" s="124"/>
      <c r="D55" s="124" t="s">
        <v>279</v>
      </c>
      <c r="E55" s="124"/>
      <c r="F55" s="127">
        <v>50</v>
      </c>
      <c r="G55" s="127">
        <f t="shared" si="6"/>
        <v>0</v>
      </c>
      <c r="I55" s="130"/>
      <c r="J55" s="117"/>
    </row>
    <row r="56" spans="1:10" x14ac:dyDescent="0.25">
      <c r="A56" s="112"/>
      <c r="B56" s="120"/>
      <c r="C56" s="124"/>
      <c r="D56" s="124" t="s">
        <v>280</v>
      </c>
      <c r="E56" s="124"/>
      <c r="F56" s="127">
        <v>75</v>
      </c>
      <c r="G56" s="127">
        <f t="shared" si="6"/>
        <v>0</v>
      </c>
      <c r="I56" s="130"/>
      <c r="J56" s="117"/>
    </row>
    <row r="57" spans="1:10" x14ac:dyDescent="0.25">
      <c r="A57" s="112"/>
      <c r="B57" s="120"/>
      <c r="C57" s="124"/>
      <c r="D57" s="124" t="s">
        <v>281</v>
      </c>
      <c r="E57" s="124"/>
      <c r="F57" s="127">
        <v>60</v>
      </c>
      <c r="G57" s="127">
        <f t="shared" si="6"/>
        <v>0</v>
      </c>
      <c r="I57" s="130"/>
      <c r="J57" s="117"/>
    </row>
    <row r="58" spans="1:10" x14ac:dyDescent="0.25">
      <c r="A58" s="113"/>
      <c r="B58" s="166" t="s">
        <v>247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25">
      <c r="B59" s="122"/>
      <c r="C59" s="124">
        <f>SUM(C7:C58)</f>
        <v>699.48</v>
      </c>
      <c r="D59" s="124"/>
      <c r="E59" s="124">
        <f>SUM(E49+E40+E31+E22+E8)</f>
        <v>393.03999999999996</v>
      </c>
      <c r="F59" s="124"/>
      <c r="G59" s="127">
        <f>SUM(G7:G50)</f>
        <v>51467.200000000012</v>
      </c>
      <c r="I59" s="130">
        <f>SUM(I7:I49)</f>
        <v>37471.73000000001</v>
      </c>
    </row>
    <row r="60" spans="1:10" x14ac:dyDescent="0.25">
      <c r="B60" s="122"/>
      <c r="C60" s="124"/>
      <c r="D60" s="124"/>
      <c r="E60" s="124"/>
      <c r="F60" s="124"/>
      <c r="G60" s="124"/>
      <c r="I60" s="122"/>
    </row>
    <row r="61" spans="1:10" x14ac:dyDescent="0.25">
      <c r="A61" s="112" t="s">
        <v>222</v>
      </c>
      <c r="B61" s="120" t="s">
        <v>225</v>
      </c>
      <c r="C61" s="124"/>
      <c r="D61" s="124"/>
      <c r="E61" s="124"/>
      <c r="F61" s="124"/>
      <c r="G61" s="124"/>
      <c r="I61" s="122"/>
    </row>
    <row r="62" spans="1:10" x14ac:dyDescent="0.25">
      <c r="A62" s="188" t="s">
        <v>223</v>
      </c>
      <c r="B62" s="189" t="s">
        <v>224</v>
      </c>
      <c r="C62" s="197">
        <v>116.14</v>
      </c>
      <c r="D62" s="197"/>
      <c r="E62" s="197">
        <f>SUM(E63:E70)</f>
        <v>116.14</v>
      </c>
      <c r="F62" s="198"/>
      <c r="G62" s="193">
        <f>SUM(G63:G70)</f>
        <v>6186</v>
      </c>
      <c r="H62" s="192"/>
      <c r="I62" s="193">
        <v>3116</v>
      </c>
      <c r="J62" s="194">
        <f>G62-I62</f>
        <v>3070</v>
      </c>
    </row>
    <row r="63" spans="1:10" x14ac:dyDescent="0.25">
      <c r="A63" s="112"/>
      <c r="B63" s="120"/>
      <c r="C63" s="122"/>
      <c r="D63" s="124" t="s">
        <v>276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25">
      <c r="A64" s="112"/>
      <c r="B64" s="120"/>
      <c r="C64" s="124"/>
      <c r="D64" s="124" t="s">
        <v>282</v>
      </c>
      <c r="E64" s="124">
        <v>32.450000000000003</v>
      </c>
      <c r="F64" s="127">
        <v>60</v>
      </c>
      <c r="G64" s="130">
        <f t="shared" ref="G64:G70" si="7">F64*E64</f>
        <v>1947.0000000000002</v>
      </c>
      <c r="I64" s="130"/>
      <c r="J64" s="117"/>
    </row>
    <row r="65" spans="1:10" x14ac:dyDescent="0.25">
      <c r="A65" s="112"/>
      <c r="B65" s="120"/>
      <c r="C65" s="124"/>
      <c r="D65" s="124" t="s">
        <v>274</v>
      </c>
      <c r="E65" s="124">
        <v>37.22</v>
      </c>
      <c r="F65" s="127">
        <v>50</v>
      </c>
      <c r="G65" s="130">
        <f t="shared" si="7"/>
        <v>1861</v>
      </c>
      <c r="I65" s="130"/>
      <c r="J65" s="117"/>
    </row>
    <row r="66" spans="1:10" x14ac:dyDescent="0.25">
      <c r="A66" s="112"/>
      <c r="B66" s="120"/>
      <c r="C66" s="124"/>
      <c r="D66" s="124" t="s">
        <v>277</v>
      </c>
      <c r="E66" s="124">
        <v>30.07</v>
      </c>
      <c r="F66" s="127">
        <v>50</v>
      </c>
      <c r="G66" s="130">
        <f t="shared" si="7"/>
        <v>1503.5</v>
      </c>
      <c r="I66" s="130"/>
      <c r="J66" s="117"/>
    </row>
    <row r="67" spans="1:10" x14ac:dyDescent="0.25">
      <c r="A67" s="112"/>
      <c r="B67" s="120"/>
      <c r="C67" s="124"/>
      <c r="D67" s="124" t="s">
        <v>278</v>
      </c>
      <c r="E67" s="124">
        <v>10.95</v>
      </c>
      <c r="F67" s="127">
        <v>50</v>
      </c>
      <c r="G67" s="130">
        <f t="shared" si="7"/>
        <v>547.5</v>
      </c>
      <c r="I67" s="130"/>
      <c r="J67" s="117"/>
    </row>
    <row r="68" spans="1:10" x14ac:dyDescent="0.25">
      <c r="A68" s="112"/>
      <c r="B68" s="120"/>
      <c r="C68" s="124"/>
      <c r="D68" s="124" t="s">
        <v>279</v>
      </c>
      <c r="E68" s="124"/>
      <c r="F68" s="127">
        <v>50</v>
      </c>
      <c r="G68" s="130">
        <f t="shared" si="7"/>
        <v>0</v>
      </c>
      <c r="I68" s="130"/>
      <c r="J68" s="117"/>
    </row>
    <row r="69" spans="1:10" x14ac:dyDescent="0.25">
      <c r="A69" s="112"/>
      <c r="B69" s="120"/>
      <c r="C69" s="124"/>
      <c r="D69" s="124" t="s">
        <v>280</v>
      </c>
      <c r="E69" s="124"/>
      <c r="F69" s="127">
        <v>75</v>
      </c>
      <c r="G69" s="130">
        <f t="shared" si="7"/>
        <v>0</v>
      </c>
      <c r="I69" s="130"/>
      <c r="J69" s="117"/>
    </row>
    <row r="70" spans="1:10" x14ac:dyDescent="0.25">
      <c r="A70" s="113"/>
      <c r="B70" s="121"/>
      <c r="C70" s="125"/>
      <c r="D70" s="125" t="s">
        <v>281</v>
      </c>
      <c r="E70" s="125"/>
      <c r="F70" s="128">
        <v>60</v>
      </c>
      <c r="G70" s="128">
        <f t="shared" si="7"/>
        <v>0</v>
      </c>
      <c r="H70" s="114"/>
      <c r="I70" s="131"/>
      <c r="J70" s="118"/>
    </row>
    <row r="71" spans="1:10" x14ac:dyDescent="0.25">
      <c r="A71" s="112"/>
      <c r="B71" s="120"/>
      <c r="C71" s="124">
        <f>SUM(C62)</f>
        <v>116.14</v>
      </c>
      <c r="D71" s="124"/>
      <c r="E71" s="124">
        <f>SUM(E62)</f>
        <v>116.14</v>
      </c>
      <c r="F71" s="124"/>
      <c r="G71" s="127">
        <f>SUM(G62)</f>
        <v>6186</v>
      </c>
      <c r="I71" s="130">
        <f>SUM(I62)</f>
        <v>3116</v>
      </c>
    </row>
    <row r="72" spans="1:10" x14ac:dyDescent="0.25">
      <c r="A72" s="112"/>
      <c r="B72" s="120"/>
      <c r="C72" s="124"/>
      <c r="D72" s="124"/>
      <c r="E72" s="124"/>
      <c r="F72" s="124"/>
      <c r="G72" s="127"/>
      <c r="I72" s="130"/>
    </row>
    <row r="73" spans="1:10" x14ac:dyDescent="0.25">
      <c r="A73" s="112" t="s">
        <v>268</v>
      </c>
      <c r="B73" s="120" t="s">
        <v>271</v>
      </c>
      <c r="C73" s="124"/>
      <c r="D73" s="124"/>
      <c r="E73" s="124"/>
      <c r="F73" s="124"/>
      <c r="G73" s="124"/>
      <c r="I73" s="122"/>
    </row>
    <row r="74" spans="1:10" x14ac:dyDescent="0.25">
      <c r="A74" s="188" t="s">
        <v>84</v>
      </c>
      <c r="B74" s="189" t="s">
        <v>85</v>
      </c>
      <c r="C74" s="197">
        <v>157.88</v>
      </c>
      <c r="D74" s="197"/>
      <c r="E74" s="197">
        <f>SUM(E75:E82)</f>
        <v>157.87999999999997</v>
      </c>
      <c r="F74" s="198"/>
      <c r="G74" s="193">
        <f>SUM(G75:G82)</f>
        <v>8241.4</v>
      </c>
      <c r="H74" s="192"/>
      <c r="I74" s="193">
        <v>4123.07</v>
      </c>
      <c r="J74" s="194">
        <f>G74-I74</f>
        <v>4118.33</v>
      </c>
    </row>
    <row r="75" spans="1:10" x14ac:dyDescent="0.25">
      <c r="A75" s="112"/>
      <c r="B75" s="120"/>
      <c r="C75" s="124"/>
      <c r="D75" s="124" t="s">
        <v>276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25">
      <c r="A76" s="112"/>
      <c r="B76" s="120"/>
      <c r="C76" s="124"/>
      <c r="D76" s="124" t="s">
        <v>282</v>
      </c>
      <c r="E76" s="124">
        <v>17.59</v>
      </c>
      <c r="F76" s="127">
        <v>60</v>
      </c>
      <c r="G76" s="127">
        <f t="shared" ref="G76:G82" si="8">F76*E76</f>
        <v>1055.4000000000001</v>
      </c>
      <c r="I76" s="130"/>
      <c r="J76" s="117"/>
    </row>
    <row r="77" spans="1:10" x14ac:dyDescent="0.25">
      <c r="A77" s="112"/>
      <c r="B77" s="120"/>
      <c r="C77" s="124"/>
      <c r="D77" s="124" t="s">
        <v>274</v>
      </c>
      <c r="E77" s="124">
        <v>52.31</v>
      </c>
      <c r="F77" s="127">
        <v>50</v>
      </c>
      <c r="G77" s="127">
        <f t="shared" si="8"/>
        <v>2615.5</v>
      </c>
      <c r="I77" s="130"/>
      <c r="J77" s="117"/>
    </row>
    <row r="78" spans="1:10" x14ac:dyDescent="0.25">
      <c r="A78" s="112"/>
      <c r="B78" s="120"/>
      <c r="C78" s="124"/>
      <c r="D78" s="124" t="s">
        <v>277</v>
      </c>
      <c r="E78" s="124">
        <v>41.4</v>
      </c>
      <c r="F78" s="127">
        <v>50</v>
      </c>
      <c r="G78" s="127">
        <f t="shared" si="8"/>
        <v>2070</v>
      </c>
      <c r="I78" s="130"/>
      <c r="J78" s="117"/>
    </row>
    <row r="79" spans="1:10" x14ac:dyDescent="0.25">
      <c r="A79" s="112"/>
      <c r="B79" s="120"/>
      <c r="C79" s="124"/>
      <c r="D79" s="124" t="s">
        <v>278</v>
      </c>
      <c r="E79" s="124">
        <v>26.01</v>
      </c>
      <c r="F79" s="127">
        <v>50</v>
      </c>
      <c r="G79" s="127">
        <f t="shared" si="8"/>
        <v>1300.5</v>
      </c>
      <c r="I79" s="130"/>
      <c r="J79" s="117"/>
    </row>
    <row r="80" spans="1:10" x14ac:dyDescent="0.25">
      <c r="A80" s="112"/>
      <c r="B80" s="120"/>
      <c r="C80" s="124"/>
      <c r="D80" s="124" t="s">
        <v>279</v>
      </c>
      <c r="E80" s="124">
        <v>3.42</v>
      </c>
      <c r="F80" s="127">
        <v>50</v>
      </c>
      <c r="G80" s="127">
        <f t="shared" si="8"/>
        <v>171</v>
      </c>
      <c r="I80" s="130"/>
      <c r="J80" s="117"/>
    </row>
    <row r="81" spans="1:10" x14ac:dyDescent="0.25">
      <c r="A81" s="112"/>
      <c r="B81" s="120"/>
      <c r="C81" s="124"/>
      <c r="D81" s="124" t="s">
        <v>280</v>
      </c>
      <c r="E81" s="124"/>
      <c r="F81" s="127">
        <v>75</v>
      </c>
      <c r="G81" s="127">
        <f t="shared" si="8"/>
        <v>0</v>
      </c>
      <c r="I81" s="130"/>
      <c r="J81" s="117"/>
    </row>
    <row r="82" spans="1:10" x14ac:dyDescent="0.25">
      <c r="A82" s="113"/>
      <c r="B82" s="121"/>
      <c r="C82" s="125"/>
      <c r="D82" s="125" t="s">
        <v>281</v>
      </c>
      <c r="E82" s="125"/>
      <c r="F82" s="128">
        <v>60</v>
      </c>
      <c r="G82" s="128">
        <f t="shared" si="8"/>
        <v>0</v>
      </c>
      <c r="H82" s="114"/>
      <c r="I82" s="131"/>
      <c r="J82" s="118"/>
    </row>
    <row r="83" spans="1:10" x14ac:dyDescent="0.25">
      <c r="A83" s="112"/>
      <c r="B83" s="120"/>
      <c r="C83" s="124">
        <f>SUM(C74)</f>
        <v>157.88</v>
      </c>
      <c r="D83" s="124"/>
      <c r="E83" s="124">
        <f>SUM(E74)</f>
        <v>157.87999999999997</v>
      </c>
      <c r="F83" s="124"/>
      <c r="G83" s="127">
        <f>SUM(G74)</f>
        <v>8241.4</v>
      </c>
      <c r="I83" s="130">
        <f>SUM(I74)</f>
        <v>4123.07</v>
      </c>
    </row>
    <row r="84" spans="1:10" x14ac:dyDescent="0.2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25">
      <c r="A85" s="112" t="s">
        <v>211</v>
      </c>
      <c r="B85" s="120" t="s">
        <v>212</v>
      </c>
      <c r="C85" s="124"/>
      <c r="D85" s="124"/>
      <c r="E85" s="124"/>
      <c r="F85" s="124"/>
      <c r="G85" s="124"/>
      <c r="I85" s="122"/>
    </row>
    <row r="86" spans="1:10" hidden="1" x14ac:dyDescent="0.2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2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2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25">
      <c r="A89" s="112" t="s">
        <v>211</v>
      </c>
      <c r="B89" s="120" t="s">
        <v>212</v>
      </c>
      <c r="C89" s="124"/>
      <c r="D89" s="124"/>
      <c r="E89" s="124"/>
      <c r="F89" s="124"/>
      <c r="G89" s="124"/>
      <c r="I89" s="122"/>
    </row>
    <row r="90" spans="1:10" hidden="1" x14ac:dyDescent="0.2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2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25">
      <c r="B92" s="122"/>
      <c r="C92" s="124"/>
      <c r="D92" s="124"/>
      <c r="E92" s="124"/>
      <c r="F92" s="124"/>
      <c r="G92" s="124"/>
      <c r="I92" s="122"/>
    </row>
    <row r="93" spans="1:10" hidden="1" x14ac:dyDescent="0.25"/>
    <row r="94" spans="1:10" x14ac:dyDescent="0.25">
      <c r="C94">
        <f>C83+C71+C59</f>
        <v>973.5</v>
      </c>
      <c r="E94">
        <f>E83+E71+E59</f>
        <v>667.06</v>
      </c>
      <c r="G94" s="117">
        <f>SUM(G83+G71+G59)</f>
        <v>65894.600000000006</v>
      </c>
      <c r="I94" s="117">
        <f>SUM(I83+I71+I59)</f>
        <v>44710.80000000001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2" t="s">
        <v>220</v>
      </c>
    </row>
    <row r="2" spans="1:9" x14ac:dyDescent="0.25">
      <c r="A2" s="134" t="s">
        <v>221</v>
      </c>
    </row>
    <row r="3" spans="1:9" x14ac:dyDescent="0.25">
      <c r="A3" t="s">
        <v>217</v>
      </c>
      <c r="B3" s="133">
        <v>46122</v>
      </c>
    </row>
    <row r="5" spans="1:9" x14ac:dyDescent="0.25">
      <c r="A5" s="115" t="s">
        <v>191</v>
      </c>
      <c r="B5" s="119" t="s">
        <v>8</v>
      </c>
      <c r="C5" s="123" t="s">
        <v>213</v>
      </c>
      <c r="D5" s="123" t="s">
        <v>192</v>
      </c>
      <c r="E5" s="126" t="s">
        <v>219</v>
      </c>
      <c r="F5" s="123" t="s">
        <v>214</v>
      </c>
      <c r="G5" s="114"/>
      <c r="H5" s="129" t="s">
        <v>215</v>
      </c>
      <c r="I5" s="116" t="s">
        <v>216</v>
      </c>
    </row>
    <row r="6" spans="1:9" x14ac:dyDescent="0.25">
      <c r="A6" s="112" t="s">
        <v>193</v>
      </c>
      <c r="B6" s="120" t="s">
        <v>202</v>
      </c>
      <c r="C6" s="124"/>
      <c r="D6" s="124"/>
      <c r="E6" s="124"/>
      <c r="F6" s="124"/>
      <c r="H6" s="122"/>
    </row>
    <row r="7" spans="1:9" x14ac:dyDescent="0.25">
      <c r="A7" s="112" t="s">
        <v>194</v>
      </c>
      <c r="B7" s="120" t="s">
        <v>203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25">
      <c r="A8" s="112" t="s">
        <v>195</v>
      </c>
      <c r="B8" s="120" t="s">
        <v>204</v>
      </c>
      <c r="C8" s="124">
        <v>121.08</v>
      </c>
      <c r="D8" s="124">
        <v>121.08</v>
      </c>
      <c r="E8" s="127">
        <v>85</v>
      </c>
      <c r="F8" s="127">
        <f t="shared" ref="F8:F11" si="0">E8*D8</f>
        <v>10291.799999999999</v>
      </c>
      <c r="H8" s="130">
        <v>8306.01</v>
      </c>
      <c r="I8" s="117">
        <f>(F8+F9)-(H8+H9)</f>
        <v>1985.7899999999991</v>
      </c>
    </row>
    <row r="9" spans="1:9" x14ac:dyDescent="0.25">
      <c r="A9" s="112" t="s">
        <v>196</v>
      </c>
      <c r="B9" s="120" t="s">
        <v>205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25">
      <c r="A10" s="112" t="s">
        <v>197</v>
      </c>
      <c r="B10" s="120" t="s">
        <v>206</v>
      </c>
      <c r="C10" s="124">
        <v>105</v>
      </c>
      <c r="D10" s="124">
        <v>0</v>
      </c>
      <c r="E10" s="127">
        <v>0</v>
      </c>
      <c r="F10" s="127">
        <f t="shared" si="0"/>
        <v>0</v>
      </c>
      <c r="H10" s="130">
        <v>6250.04</v>
      </c>
      <c r="I10" s="117">
        <f t="shared" si="1"/>
        <v>-6250.04</v>
      </c>
    </row>
    <row r="11" spans="1:9" x14ac:dyDescent="0.25">
      <c r="A11" s="112" t="s">
        <v>198</v>
      </c>
      <c r="B11" s="120" t="s">
        <v>207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25">
      <c r="A12" s="112" t="s">
        <v>199</v>
      </c>
      <c r="B12" s="120" t="s">
        <v>208</v>
      </c>
      <c r="C12" s="124">
        <v>38.81</v>
      </c>
      <c r="D12" s="124">
        <v>38.81</v>
      </c>
      <c r="E12" s="127">
        <v>60</v>
      </c>
      <c r="F12" s="127">
        <f>E12*D12</f>
        <v>2328.6000000000004</v>
      </c>
      <c r="H12" s="130">
        <v>1006.93</v>
      </c>
      <c r="I12" s="117">
        <f t="shared" si="1"/>
        <v>1321.6700000000005</v>
      </c>
    </row>
    <row r="13" spans="1:9" x14ac:dyDescent="0.25">
      <c r="A13" s="112" t="s">
        <v>267</v>
      </c>
      <c r="B13" s="170" t="s">
        <v>266</v>
      </c>
      <c r="C13" s="124">
        <v>10.25</v>
      </c>
      <c r="D13" s="124">
        <v>10.25</v>
      </c>
      <c r="E13" s="127">
        <v>60</v>
      </c>
      <c r="F13" s="127">
        <f>E13*D13</f>
        <v>615</v>
      </c>
      <c r="H13" s="130">
        <v>350.91</v>
      </c>
      <c r="I13" s="117">
        <f t="shared" si="1"/>
        <v>264.08999999999997</v>
      </c>
    </row>
    <row r="14" spans="1:9" x14ac:dyDescent="0.25">
      <c r="A14" s="112" t="s">
        <v>200</v>
      </c>
      <c r="B14" s="120" t="s">
        <v>209</v>
      </c>
      <c r="C14" s="124">
        <v>71.430000000000007</v>
      </c>
      <c r="D14" s="124">
        <v>71.430000000000007</v>
      </c>
      <c r="E14" s="127">
        <v>60</v>
      </c>
      <c r="F14" s="127">
        <f>(E14+D15)*D14</f>
        <v>4388.6592000000001</v>
      </c>
      <c r="H14" s="130">
        <v>2223.59</v>
      </c>
      <c r="I14" s="117">
        <f t="shared" si="1"/>
        <v>2165.0691999999999</v>
      </c>
    </row>
    <row r="15" spans="1:9" x14ac:dyDescent="0.25">
      <c r="A15" s="112"/>
      <c r="B15" s="165" t="s">
        <v>247</v>
      </c>
      <c r="C15" s="124">
        <v>1.44</v>
      </c>
      <c r="D15" s="124">
        <v>1.44</v>
      </c>
      <c r="E15" s="127"/>
      <c r="F15" s="127"/>
      <c r="H15" s="130"/>
      <c r="I15" s="117"/>
    </row>
    <row r="16" spans="1:9" x14ac:dyDescent="0.25">
      <c r="A16" s="112" t="s">
        <v>201</v>
      </c>
      <c r="B16" s="120" t="s">
        <v>210</v>
      </c>
      <c r="C16" s="124">
        <v>34.71</v>
      </c>
      <c r="D16" s="124">
        <v>34.71</v>
      </c>
      <c r="E16" s="127">
        <v>60</v>
      </c>
      <c r="F16" s="127">
        <f>(E16+D17)*D16</f>
        <v>2132.5823999999998</v>
      </c>
      <c r="H16" s="130">
        <v>989.49</v>
      </c>
      <c r="I16" s="117">
        <f t="shared" si="1"/>
        <v>1143.0923999999998</v>
      </c>
    </row>
    <row r="17" spans="1:9" x14ac:dyDescent="0.25">
      <c r="A17" s="113"/>
      <c r="B17" s="166" t="s">
        <v>247</v>
      </c>
      <c r="C17" s="125">
        <v>1.44</v>
      </c>
      <c r="D17" s="125">
        <v>1.44</v>
      </c>
      <c r="E17" s="128"/>
      <c r="F17" s="128"/>
      <c r="G17" s="114"/>
      <c r="H17" s="131"/>
      <c r="I17" s="118"/>
    </row>
    <row r="18" spans="1:9" x14ac:dyDescent="0.25">
      <c r="B18" s="122"/>
      <c r="C18" s="124">
        <f>SUM(C7:C17)</f>
        <v>500.15999999999997</v>
      </c>
      <c r="D18" s="124">
        <f>SUM(D7:D17)</f>
        <v>279.15999999999997</v>
      </c>
      <c r="E18" s="124"/>
      <c r="F18" s="127">
        <f>SUM(F7:F16)</f>
        <v>19756.641599999999</v>
      </c>
      <c r="H18" s="130">
        <f>SUM(H7:H16)</f>
        <v>25859.510000000002</v>
      </c>
    </row>
    <row r="19" spans="1:9" x14ac:dyDescent="0.25">
      <c r="B19" s="122"/>
      <c r="C19" s="124"/>
      <c r="D19" s="124"/>
      <c r="E19" s="124"/>
      <c r="F19" s="124"/>
      <c r="H19" s="122"/>
    </row>
    <row r="20" spans="1:9" x14ac:dyDescent="0.25">
      <c r="A20" s="112" t="s">
        <v>222</v>
      </c>
      <c r="B20" s="120" t="s">
        <v>225</v>
      </c>
      <c r="C20" s="124"/>
      <c r="D20" s="124"/>
      <c r="E20" s="124"/>
      <c r="F20" s="124"/>
      <c r="H20" s="122"/>
    </row>
    <row r="21" spans="1:9" x14ac:dyDescent="0.25">
      <c r="A21" s="113" t="s">
        <v>223</v>
      </c>
      <c r="B21" s="121" t="s">
        <v>224</v>
      </c>
      <c r="C21" s="125">
        <v>86.92</v>
      </c>
      <c r="D21" s="125">
        <v>86.92</v>
      </c>
      <c r="E21" s="128">
        <v>60</v>
      </c>
      <c r="F21" s="128">
        <f>(E21)*D21</f>
        <v>5215.2</v>
      </c>
      <c r="G21" s="114"/>
      <c r="H21" s="131">
        <v>2481.98</v>
      </c>
      <c r="I21" s="118">
        <f>F21-H21</f>
        <v>2733.22</v>
      </c>
    </row>
    <row r="22" spans="1:9" x14ac:dyDescent="0.25">
      <c r="A22" s="112"/>
      <c r="B22" s="120"/>
      <c r="C22" s="124">
        <f>SUM(C21)</f>
        <v>86.92</v>
      </c>
      <c r="D22" s="124">
        <f>SUM(D21)</f>
        <v>86.92</v>
      </c>
      <c r="E22" s="124"/>
      <c r="F22" s="127">
        <f>SUM(F21)</f>
        <v>5215.2</v>
      </c>
      <c r="H22" s="130">
        <f>SUM(H21)</f>
        <v>2481.98</v>
      </c>
    </row>
    <row r="23" spans="1:9" x14ac:dyDescent="0.25">
      <c r="A23" s="112" t="s">
        <v>268</v>
      </c>
      <c r="B23" s="120" t="s">
        <v>212</v>
      </c>
      <c r="C23" s="124"/>
      <c r="D23" s="124"/>
      <c r="E23" s="124"/>
      <c r="F23" s="124"/>
      <c r="H23" s="122"/>
    </row>
    <row r="24" spans="1:9" x14ac:dyDescent="0.25">
      <c r="A24" s="113" t="s">
        <v>84</v>
      </c>
      <c r="B24" s="121" t="s">
        <v>85</v>
      </c>
      <c r="C24" s="125">
        <v>77.09</v>
      </c>
      <c r="D24" s="125">
        <v>77.09</v>
      </c>
      <c r="E24" s="128">
        <v>60</v>
      </c>
      <c r="F24" s="128">
        <f>E24*D24</f>
        <v>4625.4000000000005</v>
      </c>
      <c r="G24" s="114"/>
      <c r="H24" s="131">
        <v>2180.48</v>
      </c>
      <c r="I24" s="118">
        <f>F24-H24</f>
        <v>2444.9200000000005</v>
      </c>
    </row>
    <row r="25" spans="1:9" x14ac:dyDescent="0.25">
      <c r="A25" s="112"/>
      <c r="B25" s="120"/>
      <c r="C25" s="124">
        <f>SUM(C24)</f>
        <v>77.09</v>
      </c>
      <c r="D25" s="124">
        <f>SUM(D24)</f>
        <v>77.09</v>
      </c>
      <c r="E25" s="124"/>
      <c r="F25" s="127">
        <f>SUM(F24)</f>
        <v>4625.4000000000005</v>
      </c>
      <c r="H25" s="130">
        <f>SUM(H24)</f>
        <v>2180.48</v>
      </c>
    </row>
    <row r="26" spans="1:9" x14ac:dyDescent="0.25">
      <c r="A26" s="112"/>
      <c r="B26" s="120"/>
      <c r="C26" s="124"/>
      <c r="D26" s="124"/>
      <c r="E26" s="124"/>
      <c r="F26" s="124"/>
      <c r="H26" s="122"/>
    </row>
    <row r="27" spans="1:9" x14ac:dyDescent="0.25">
      <c r="A27" s="112" t="s">
        <v>211</v>
      </c>
      <c r="B27" s="120" t="s">
        <v>212</v>
      </c>
      <c r="C27" s="124"/>
      <c r="D27" s="124"/>
      <c r="E27" s="124"/>
      <c r="F27" s="124"/>
      <c r="H27" s="122"/>
    </row>
    <row r="28" spans="1:9" x14ac:dyDescent="0.25">
      <c r="A28" s="113"/>
      <c r="B28" s="121"/>
      <c r="C28" s="125"/>
      <c r="D28" s="125"/>
      <c r="E28" s="128">
        <v>0</v>
      </c>
      <c r="F28" s="128">
        <f>E28*D28</f>
        <v>0</v>
      </c>
      <c r="G28" s="114"/>
      <c r="H28" s="131"/>
      <c r="I28" s="118">
        <f>F28-H28</f>
        <v>0</v>
      </c>
    </row>
    <row r="29" spans="1:9" x14ac:dyDescent="0.25">
      <c r="A29" s="112"/>
      <c r="B29" s="120"/>
      <c r="C29" s="124">
        <f>SUM(C28)</f>
        <v>0</v>
      </c>
      <c r="D29" s="124">
        <f>SUM(D28)</f>
        <v>0</v>
      </c>
      <c r="E29" s="124"/>
      <c r="F29" s="127">
        <f>SUM(F28)</f>
        <v>0</v>
      </c>
      <c r="H29" s="130">
        <f>SUM(H28)</f>
        <v>0</v>
      </c>
    </row>
    <row r="30" spans="1:9" x14ac:dyDescent="0.25">
      <c r="A30" s="112"/>
      <c r="B30" s="120"/>
      <c r="C30" s="124"/>
      <c r="D30" s="124"/>
      <c r="E30" s="124"/>
      <c r="F30" s="124"/>
      <c r="H30" s="122"/>
    </row>
    <row r="31" spans="1:9" x14ac:dyDescent="0.25">
      <c r="A31" s="112" t="s">
        <v>211</v>
      </c>
      <c r="B31" s="120" t="s">
        <v>212</v>
      </c>
      <c r="C31" s="124"/>
      <c r="D31" s="124"/>
      <c r="E31" s="124"/>
      <c r="F31" s="124"/>
      <c r="H31" s="122"/>
    </row>
    <row r="32" spans="1:9" x14ac:dyDescent="0.25">
      <c r="A32" s="113"/>
      <c r="B32" s="121"/>
      <c r="C32" s="125"/>
      <c r="D32" s="125"/>
      <c r="E32" s="128">
        <v>0</v>
      </c>
      <c r="F32" s="128">
        <f>E32*D32</f>
        <v>0</v>
      </c>
      <c r="G32" s="114"/>
      <c r="H32" s="131"/>
      <c r="I32" s="118">
        <f>F32-H32</f>
        <v>0</v>
      </c>
    </row>
    <row r="33" spans="1:8" x14ac:dyDescent="0.25">
      <c r="A33" s="112"/>
      <c r="B33" s="120"/>
      <c r="C33" s="124">
        <f>SUM(C32)</f>
        <v>0</v>
      </c>
      <c r="D33" s="124">
        <f>SUM(D32)</f>
        <v>0</v>
      </c>
      <c r="E33" s="124"/>
      <c r="F33" s="127">
        <f>SUM(F32)</f>
        <v>0</v>
      </c>
      <c r="H33" s="130">
        <f>SUM(H32)</f>
        <v>0</v>
      </c>
    </row>
    <row r="34" spans="1:8" x14ac:dyDescent="0.25">
      <c r="B34" s="122"/>
      <c r="C34" s="124"/>
      <c r="D34" s="124"/>
      <c r="E34" s="124"/>
      <c r="F34" s="124"/>
      <c r="H34" s="122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2" t="s">
        <v>220</v>
      </c>
    </row>
    <row r="2" spans="1:9" x14ac:dyDescent="0.25">
      <c r="A2" s="134" t="s">
        <v>221</v>
      </c>
    </row>
    <row r="3" spans="1:9" x14ac:dyDescent="0.25">
      <c r="A3" t="s">
        <v>217</v>
      </c>
      <c r="B3" s="133">
        <v>46088</v>
      </c>
    </row>
    <row r="5" spans="1:9" x14ac:dyDescent="0.25">
      <c r="A5" s="115" t="s">
        <v>191</v>
      </c>
      <c r="B5" s="119" t="s">
        <v>8</v>
      </c>
      <c r="C5" s="123" t="s">
        <v>213</v>
      </c>
      <c r="D5" s="123" t="s">
        <v>192</v>
      </c>
      <c r="E5" s="126" t="s">
        <v>219</v>
      </c>
      <c r="F5" s="123" t="s">
        <v>214</v>
      </c>
      <c r="G5" s="114"/>
      <c r="H5" s="129" t="s">
        <v>215</v>
      </c>
      <c r="I5" s="116" t="s">
        <v>216</v>
      </c>
    </row>
    <row r="6" spans="1:9" x14ac:dyDescent="0.25">
      <c r="A6" s="112" t="s">
        <v>193</v>
      </c>
      <c r="B6" s="120" t="s">
        <v>202</v>
      </c>
      <c r="C6" s="124"/>
      <c r="D6" s="124"/>
      <c r="E6" s="124"/>
      <c r="F6" s="124"/>
      <c r="H6" s="122"/>
    </row>
    <row r="7" spans="1:9" x14ac:dyDescent="0.25">
      <c r="A7" s="112" t="s">
        <v>194</v>
      </c>
      <c r="B7" s="120" t="s">
        <v>203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25">
      <c r="A8" s="112" t="s">
        <v>195</v>
      </c>
      <c r="B8" s="120" t="s">
        <v>204</v>
      </c>
      <c r="C8" s="124">
        <v>58.95</v>
      </c>
      <c r="D8" s="124">
        <v>58.95</v>
      </c>
      <c r="E8" s="127">
        <v>85</v>
      </c>
      <c r="F8" s="127">
        <f t="shared" ref="F8:F11" si="0">E8*D8</f>
        <v>5010.75</v>
      </c>
      <c r="H8" s="130">
        <v>4043.93</v>
      </c>
      <c r="I8" s="117">
        <f>(F8+F9)-(H8+H9)</f>
        <v>966.82000000000016</v>
      </c>
    </row>
    <row r="9" spans="1:9" x14ac:dyDescent="0.25">
      <c r="A9" s="112" t="s">
        <v>196</v>
      </c>
      <c r="B9" s="120" t="s">
        <v>205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25">
      <c r="A10" s="112" t="s">
        <v>197</v>
      </c>
      <c r="B10" s="120" t="s">
        <v>206</v>
      </c>
      <c r="C10" s="124">
        <v>49</v>
      </c>
      <c r="D10" s="124">
        <v>0</v>
      </c>
      <c r="E10" s="127">
        <v>0</v>
      </c>
      <c r="F10" s="127">
        <f t="shared" si="0"/>
        <v>0</v>
      </c>
      <c r="H10" s="130">
        <v>2943.25</v>
      </c>
      <c r="I10" s="117">
        <f t="shared" si="1"/>
        <v>-2943.25</v>
      </c>
    </row>
    <row r="11" spans="1:9" x14ac:dyDescent="0.25">
      <c r="A11" s="112" t="s">
        <v>198</v>
      </c>
      <c r="B11" s="120" t="s">
        <v>207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25">
      <c r="A12" s="112" t="s">
        <v>199</v>
      </c>
      <c r="B12" s="120" t="s">
        <v>208</v>
      </c>
      <c r="C12" s="124">
        <v>12</v>
      </c>
      <c r="D12" s="124">
        <v>12</v>
      </c>
      <c r="E12" s="127">
        <v>60</v>
      </c>
      <c r="F12" s="127">
        <f>(E12+D13)*D12</f>
        <v>804</v>
      </c>
      <c r="H12" s="130">
        <v>366.09</v>
      </c>
      <c r="I12" s="117">
        <f t="shared" si="1"/>
        <v>437.91</v>
      </c>
    </row>
    <row r="13" spans="1:9" x14ac:dyDescent="0.25">
      <c r="A13" s="112"/>
      <c r="B13" s="165" t="s">
        <v>247</v>
      </c>
      <c r="C13" s="124">
        <v>7</v>
      </c>
      <c r="D13" s="124">
        <v>7</v>
      </c>
      <c r="E13" s="127"/>
      <c r="F13" s="127"/>
      <c r="H13" s="130"/>
      <c r="I13" s="117"/>
    </row>
    <row r="14" spans="1:9" x14ac:dyDescent="0.25">
      <c r="A14" s="112" t="s">
        <v>200</v>
      </c>
      <c r="B14" s="120" t="s">
        <v>209</v>
      </c>
      <c r="C14" s="124">
        <v>59.43</v>
      </c>
      <c r="D14" s="124">
        <v>59.43</v>
      </c>
      <c r="E14" s="127">
        <v>60</v>
      </c>
      <c r="F14" s="127">
        <f>(E14+D15)*D14</f>
        <v>4278.96</v>
      </c>
      <c r="H14" s="130">
        <v>2010.58</v>
      </c>
      <c r="I14" s="117">
        <f t="shared" si="1"/>
        <v>2268.38</v>
      </c>
    </row>
    <row r="15" spans="1:9" x14ac:dyDescent="0.25">
      <c r="A15" s="112"/>
      <c r="B15" s="165" t="s">
        <v>247</v>
      </c>
      <c r="C15" s="124">
        <v>12</v>
      </c>
      <c r="D15" s="124">
        <v>12</v>
      </c>
      <c r="E15" s="127"/>
      <c r="F15" s="127"/>
      <c r="H15" s="130"/>
      <c r="I15" s="117"/>
    </row>
    <row r="16" spans="1:9" x14ac:dyDescent="0.25">
      <c r="A16" s="112" t="s">
        <v>201</v>
      </c>
      <c r="B16" s="120" t="s">
        <v>210</v>
      </c>
      <c r="C16" s="124">
        <v>6.94</v>
      </c>
      <c r="D16" s="124">
        <v>6.94</v>
      </c>
      <c r="E16" s="127">
        <v>60</v>
      </c>
      <c r="F16" s="127">
        <f>(E16+D17)*D16</f>
        <v>527.44000000000005</v>
      </c>
      <c r="H16" s="130">
        <v>117.98</v>
      </c>
      <c r="I16" s="117">
        <f t="shared" si="1"/>
        <v>409.46000000000004</v>
      </c>
    </row>
    <row r="17" spans="1:9" x14ac:dyDescent="0.25">
      <c r="A17" s="113"/>
      <c r="B17" s="166" t="s">
        <v>247</v>
      </c>
      <c r="C17" s="125">
        <v>16</v>
      </c>
      <c r="D17" s="125">
        <v>16</v>
      </c>
      <c r="E17" s="128"/>
      <c r="F17" s="128"/>
      <c r="G17" s="114"/>
      <c r="H17" s="131"/>
      <c r="I17" s="118"/>
    </row>
    <row r="18" spans="1:9" x14ac:dyDescent="0.25">
      <c r="B18" s="122"/>
      <c r="C18" s="124">
        <f>SUM(C7:C17)</f>
        <v>337.32</v>
      </c>
      <c r="D18" s="124">
        <f>SUM(D7:D17)</f>
        <v>172.32</v>
      </c>
      <c r="E18" s="124"/>
      <c r="F18" s="127">
        <f>SUM(F7:F16)</f>
        <v>10621.15</v>
      </c>
      <c r="H18" s="130">
        <f>SUM(H7:H16)</f>
        <v>16214.37</v>
      </c>
    </row>
    <row r="19" spans="1:9" x14ac:dyDescent="0.25">
      <c r="B19" s="122"/>
      <c r="C19" s="124"/>
      <c r="D19" s="124"/>
      <c r="E19" s="124"/>
      <c r="F19" s="124"/>
      <c r="H19" s="122"/>
    </row>
    <row r="20" spans="1:9" x14ac:dyDescent="0.25">
      <c r="A20" s="112" t="s">
        <v>222</v>
      </c>
      <c r="B20" s="120" t="s">
        <v>225</v>
      </c>
      <c r="C20" s="124"/>
      <c r="D20" s="124"/>
      <c r="E20" s="124"/>
      <c r="F20" s="124"/>
      <c r="H20" s="122"/>
    </row>
    <row r="21" spans="1:9" x14ac:dyDescent="0.25">
      <c r="A21" s="112" t="s">
        <v>223</v>
      </c>
      <c r="B21" s="120" t="s">
        <v>224</v>
      </c>
      <c r="C21" s="124">
        <v>69.540000000000006</v>
      </c>
      <c r="D21" s="124">
        <v>69.540000000000006</v>
      </c>
      <c r="E21" s="127">
        <v>60</v>
      </c>
      <c r="F21" s="127">
        <f>(E21+D22)*D21</f>
        <v>4698.8177999999998</v>
      </c>
      <c r="H21" s="130">
        <v>2104.69</v>
      </c>
      <c r="I21" s="117">
        <f>F21-H21</f>
        <v>2594.1277999999998</v>
      </c>
    </row>
    <row r="22" spans="1:9" x14ac:dyDescent="0.25">
      <c r="A22" s="113"/>
      <c r="B22" s="166" t="s">
        <v>247</v>
      </c>
      <c r="C22" s="125">
        <v>7.57</v>
      </c>
      <c r="D22" s="125">
        <v>7.57</v>
      </c>
      <c r="E22" s="128"/>
      <c r="F22" s="128"/>
      <c r="G22" s="114"/>
      <c r="H22" s="131"/>
      <c r="I22" s="118"/>
    </row>
    <row r="23" spans="1:9" x14ac:dyDescent="0.25">
      <c r="A23" s="112"/>
      <c r="B23" s="120"/>
      <c r="C23" s="124">
        <f>SUM(C21)</f>
        <v>69.540000000000006</v>
      </c>
      <c r="D23" s="124">
        <f>SUM(D21)</f>
        <v>69.540000000000006</v>
      </c>
      <c r="E23" s="124"/>
      <c r="F23" s="127">
        <f>SUM(F21)</f>
        <v>4698.8177999999998</v>
      </c>
      <c r="H23" s="130">
        <f>SUM(H21)</f>
        <v>2104.69</v>
      </c>
    </row>
    <row r="24" spans="1:9" x14ac:dyDescent="0.25">
      <c r="A24" s="112" t="s">
        <v>211</v>
      </c>
      <c r="B24" s="120" t="s">
        <v>212</v>
      </c>
      <c r="C24" s="124"/>
      <c r="D24" s="124"/>
      <c r="E24" s="124"/>
      <c r="F24" s="124"/>
      <c r="H24" s="122"/>
    </row>
    <row r="25" spans="1:9" x14ac:dyDescent="0.25">
      <c r="A25" s="113"/>
      <c r="B25" s="121"/>
      <c r="C25" s="125"/>
      <c r="D25" s="125"/>
      <c r="E25" s="128">
        <v>0</v>
      </c>
      <c r="F25" s="128">
        <f>E25*D25</f>
        <v>0</v>
      </c>
      <c r="G25" s="114"/>
      <c r="H25" s="131"/>
      <c r="I25" s="118">
        <f>F25-H25</f>
        <v>0</v>
      </c>
    </row>
    <row r="26" spans="1:9" x14ac:dyDescent="0.25">
      <c r="A26" s="112"/>
      <c r="B26" s="120"/>
      <c r="C26" s="124">
        <f>SUM(C25)</f>
        <v>0</v>
      </c>
      <c r="D26" s="124">
        <f>SUM(D25)</f>
        <v>0</v>
      </c>
      <c r="E26" s="124"/>
      <c r="F26" s="127">
        <f>SUM(F25)</f>
        <v>0</v>
      </c>
      <c r="H26" s="130">
        <f>SUM(H25)</f>
        <v>0</v>
      </c>
    </row>
    <row r="27" spans="1:9" x14ac:dyDescent="0.25">
      <c r="A27" s="112"/>
      <c r="B27" s="120"/>
      <c r="C27" s="124"/>
      <c r="D27" s="124"/>
      <c r="E27" s="124"/>
      <c r="F27" s="124"/>
      <c r="H27" s="122"/>
    </row>
    <row r="28" spans="1:9" x14ac:dyDescent="0.25">
      <c r="A28" s="112" t="s">
        <v>211</v>
      </c>
      <c r="B28" s="120" t="s">
        <v>212</v>
      </c>
      <c r="C28" s="124"/>
      <c r="D28" s="124"/>
      <c r="E28" s="124"/>
      <c r="F28" s="124"/>
      <c r="H28" s="122"/>
    </row>
    <row r="29" spans="1:9" x14ac:dyDescent="0.25">
      <c r="A29" s="113"/>
      <c r="B29" s="121"/>
      <c r="C29" s="125"/>
      <c r="D29" s="125"/>
      <c r="E29" s="128">
        <v>0</v>
      </c>
      <c r="F29" s="128">
        <f>E29*D29</f>
        <v>0</v>
      </c>
      <c r="G29" s="114"/>
      <c r="H29" s="131"/>
      <c r="I29" s="118">
        <f>F29-H29</f>
        <v>0</v>
      </c>
    </row>
    <row r="30" spans="1:9" x14ac:dyDescent="0.25">
      <c r="A30" s="112"/>
      <c r="B30" s="120"/>
      <c r="C30" s="124">
        <f>SUM(C29)</f>
        <v>0</v>
      </c>
      <c r="D30" s="124">
        <f>SUM(D29)</f>
        <v>0</v>
      </c>
      <c r="E30" s="124"/>
      <c r="F30" s="127">
        <f>SUM(F29)</f>
        <v>0</v>
      </c>
      <c r="H30" s="130">
        <f>SUM(H29)</f>
        <v>0</v>
      </c>
    </row>
    <row r="31" spans="1:9" x14ac:dyDescent="0.25">
      <c r="A31" s="112"/>
      <c r="B31" s="120"/>
      <c r="C31" s="124"/>
      <c r="D31" s="124"/>
      <c r="E31" s="124"/>
      <c r="F31" s="124"/>
      <c r="H31" s="122"/>
    </row>
    <row r="32" spans="1:9" x14ac:dyDescent="0.25">
      <c r="A32" s="112" t="s">
        <v>211</v>
      </c>
      <c r="B32" s="120" t="s">
        <v>212</v>
      </c>
      <c r="C32" s="124"/>
      <c r="D32" s="124"/>
      <c r="E32" s="124"/>
      <c r="F32" s="124"/>
      <c r="H32" s="122"/>
    </row>
    <row r="33" spans="1:9" x14ac:dyDescent="0.25">
      <c r="A33" s="113"/>
      <c r="B33" s="121"/>
      <c r="C33" s="125"/>
      <c r="D33" s="125"/>
      <c r="E33" s="128">
        <v>0</v>
      </c>
      <c r="F33" s="128">
        <f>E33*D33</f>
        <v>0</v>
      </c>
      <c r="G33" s="114"/>
      <c r="H33" s="131"/>
      <c r="I33" s="118">
        <f>F33-H33</f>
        <v>0</v>
      </c>
    </row>
    <row r="34" spans="1:9" x14ac:dyDescent="0.25">
      <c r="A34" s="112"/>
      <c r="B34" s="120"/>
      <c r="C34" s="124">
        <f>SUM(C33)</f>
        <v>0</v>
      </c>
      <c r="D34" s="124">
        <f>SUM(D33)</f>
        <v>0</v>
      </c>
      <c r="E34" s="124"/>
      <c r="F34" s="127">
        <f>SUM(F33)</f>
        <v>0</v>
      </c>
      <c r="H34" s="130">
        <f>SUM(H33)</f>
        <v>0</v>
      </c>
    </row>
    <row r="35" spans="1:9" x14ac:dyDescent="0.25">
      <c r="B35" s="122"/>
      <c r="C35" s="124"/>
      <c r="D35" s="124"/>
      <c r="E35" s="124"/>
      <c r="F35" s="124"/>
      <c r="H35" s="122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A</vt:lpstr>
      <vt:lpstr>B</vt:lpstr>
      <vt:lpstr>LABOR JTD 7.21.2026</vt:lpstr>
      <vt:lpstr>LABOR JTD 6.18.2026</vt:lpstr>
      <vt:lpstr>LABOR JTD 5.15.2026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2026-07-21T22:00:19Z</cp:lastPrinted>
  <dcterms:created xsi:type="dcterms:W3CDTF">2015-06-05T18:17:20Z</dcterms:created>
  <dcterms:modified xsi:type="dcterms:W3CDTF">2026-07-21T22:02:29Z</dcterms:modified>
</cp:coreProperties>
</file>