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4 Projects\1-2407 - Schachne Residence\13 Pay App - Job Cost\"/>
    </mc:Choice>
  </mc:AlternateContent>
  <xr:revisionPtr revIDLastSave="0" documentId="13_ncr:1_{4A190009-B6FB-4CED-812C-58AF7A1F55B8}" xr6:coauthVersionLast="47" xr6:coauthVersionMax="47" xr10:uidLastSave="{00000000-0000-0000-0000-000000000000}"/>
  <bookViews>
    <workbookView xWindow="28680" yWindow="-120" windowWidth="29040" windowHeight="15840" activeTab="2" xr2:uid="{00000000-000D-0000-FFFF-FFFF00000000}"/>
  </bookViews>
  <sheets>
    <sheet name="A" sheetId="1" r:id="rId1"/>
    <sheet name="B" sheetId="2" r:id="rId2"/>
    <sheet name="SUB-FINAL RECONCILIATION" sheetId="3" r:id="rId3"/>
    <sheet name="SUB-FINAL LABOR" sheetId="4" r:id="rId4"/>
  </sheets>
  <definedNames>
    <definedName name="_xlnm.Print_Area" localSheetId="0">A!$A$1:$M$49</definedName>
    <definedName name="_xlnm.Print_Area" localSheetId="1">B!$A$1:$M$78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6" i="3" l="1"/>
  <c r="D120" i="3"/>
  <c r="G120" i="3"/>
  <c r="D119" i="3"/>
  <c r="G119" i="3"/>
  <c r="D64" i="3"/>
  <c r="D83" i="3"/>
  <c r="D76" i="3"/>
  <c r="D73" i="3"/>
  <c r="D45" i="3"/>
  <c r="D48" i="3"/>
  <c r="D71" i="3"/>
  <c r="D67" i="3"/>
  <c r="D106" i="3"/>
  <c r="H106" i="3"/>
  <c r="D103" i="3"/>
  <c r="D97" i="3"/>
  <c r="D99" i="3"/>
  <c r="J93" i="3"/>
  <c r="F93" i="3"/>
  <c r="K93" i="3" s="1"/>
  <c r="H17" i="2"/>
  <c r="G286" i="4" l="1"/>
  <c r="G59" i="4"/>
  <c r="J20" i="2"/>
  <c r="J22" i="2"/>
  <c r="D102" i="3"/>
  <c r="L49" i="2"/>
  <c r="J49" i="2"/>
  <c r="H49" i="2"/>
  <c r="D127" i="3"/>
  <c r="H127" i="3"/>
  <c r="G127" i="3"/>
  <c r="G130" i="3" s="1"/>
  <c r="J47" i="2"/>
  <c r="I65" i="2"/>
  <c r="J65" i="2" s="1"/>
  <c r="I70" i="2"/>
  <c r="J70" i="2" s="1"/>
  <c r="J63" i="2"/>
  <c r="J61" i="2"/>
  <c r="J45" i="2"/>
  <c r="J11" i="2"/>
  <c r="D66" i="3"/>
  <c r="D59" i="3"/>
  <c r="F78" i="3" l="1"/>
  <c r="J78" i="3"/>
  <c r="F63" i="3"/>
  <c r="J63" i="3"/>
  <c r="F17" i="3"/>
  <c r="J17" i="3"/>
  <c r="I71" i="4"/>
  <c r="I127" i="4"/>
  <c r="I157" i="4"/>
  <c r="I179" i="4"/>
  <c r="I218" i="4"/>
  <c r="G209" i="4"/>
  <c r="E62" i="4"/>
  <c r="G176" i="4"/>
  <c r="G106" i="4"/>
  <c r="G31" i="4"/>
  <c r="G19" i="4"/>
  <c r="E98" i="4"/>
  <c r="E127" i="4" s="1"/>
  <c r="G99" i="4"/>
  <c r="G10" i="4"/>
  <c r="C303" i="4"/>
  <c r="I301" i="4"/>
  <c r="C301" i="4"/>
  <c r="G300" i="4"/>
  <c r="G299" i="4"/>
  <c r="G298" i="4"/>
  <c r="G297" i="4"/>
  <c r="G296" i="4"/>
  <c r="G295" i="4"/>
  <c r="G294" i="4"/>
  <c r="G293" i="4"/>
  <c r="E292" i="4"/>
  <c r="E301" i="4" s="1"/>
  <c r="I289" i="4"/>
  <c r="C289" i="4"/>
  <c r="G288" i="4"/>
  <c r="G287" i="4"/>
  <c r="G285" i="4"/>
  <c r="G284" i="4"/>
  <c r="G283" i="4"/>
  <c r="G282" i="4"/>
  <c r="G281" i="4"/>
  <c r="G280" i="4"/>
  <c r="E279" i="4"/>
  <c r="E289" i="4" s="1"/>
  <c r="I276" i="4"/>
  <c r="C276" i="4"/>
  <c r="G275" i="4"/>
  <c r="G274" i="4"/>
  <c r="G273" i="4"/>
  <c r="G272" i="4"/>
  <c r="G271" i="4"/>
  <c r="G270" i="4"/>
  <c r="G269" i="4"/>
  <c r="G268" i="4"/>
  <c r="E267" i="4"/>
  <c r="E276" i="4" s="1"/>
  <c r="C264" i="4"/>
  <c r="I264" i="4"/>
  <c r="G263" i="4"/>
  <c r="G262" i="4"/>
  <c r="G261" i="4"/>
  <c r="G260" i="4"/>
  <c r="G259" i="4"/>
  <c r="G258" i="4"/>
  <c r="G257" i="4"/>
  <c r="G256" i="4"/>
  <c r="E255" i="4"/>
  <c r="E264" i="4" s="1"/>
  <c r="I254" i="4"/>
  <c r="G253" i="4"/>
  <c r="G252" i="4"/>
  <c r="G251" i="4"/>
  <c r="G250" i="4"/>
  <c r="G249" i="4"/>
  <c r="G248" i="4"/>
  <c r="G247" i="4"/>
  <c r="G246" i="4"/>
  <c r="E245" i="4"/>
  <c r="E254" i="4" s="1"/>
  <c r="I242" i="4"/>
  <c r="C242" i="4"/>
  <c r="G241" i="4"/>
  <c r="G240" i="4"/>
  <c r="G239" i="4"/>
  <c r="G238" i="4"/>
  <c r="G237" i="4"/>
  <c r="G236" i="4"/>
  <c r="G235" i="4"/>
  <c r="G234" i="4"/>
  <c r="E233" i="4"/>
  <c r="E242" i="4" s="1"/>
  <c r="I230" i="4"/>
  <c r="C230" i="4"/>
  <c r="G229" i="4"/>
  <c r="G228" i="4"/>
  <c r="G227" i="4"/>
  <c r="G226" i="4"/>
  <c r="G225" i="4"/>
  <c r="G224" i="4"/>
  <c r="G223" i="4"/>
  <c r="G222" i="4"/>
  <c r="E221" i="4"/>
  <c r="E230" i="4" s="1"/>
  <c r="C218" i="4"/>
  <c r="G217" i="4"/>
  <c r="G216" i="4"/>
  <c r="G215" i="4"/>
  <c r="G214" i="4"/>
  <c r="G213" i="4"/>
  <c r="G212" i="4"/>
  <c r="G211" i="4"/>
  <c r="G210" i="4"/>
  <c r="E209" i="4"/>
  <c r="G208" i="4"/>
  <c r="G207" i="4"/>
  <c r="G206" i="4"/>
  <c r="G205" i="4"/>
  <c r="G204" i="4"/>
  <c r="G203" i="4"/>
  <c r="G202" i="4"/>
  <c r="G201" i="4"/>
  <c r="E200" i="4"/>
  <c r="G199" i="4"/>
  <c r="G198" i="4"/>
  <c r="G197" i="4"/>
  <c r="G196" i="4"/>
  <c r="G195" i="4"/>
  <c r="G194" i="4"/>
  <c r="G193" i="4"/>
  <c r="G192" i="4"/>
  <c r="E191" i="4"/>
  <c r="G190" i="4"/>
  <c r="G189" i="4"/>
  <c r="G188" i="4"/>
  <c r="G187" i="4"/>
  <c r="G186" i="4"/>
  <c r="G185" i="4"/>
  <c r="G184" i="4"/>
  <c r="G183" i="4"/>
  <c r="E182" i="4"/>
  <c r="C179" i="4"/>
  <c r="G178" i="4"/>
  <c r="G177" i="4"/>
  <c r="G175" i="4"/>
  <c r="G174" i="4"/>
  <c r="G173" i="4"/>
  <c r="G172" i="4"/>
  <c r="G171" i="4"/>
  <c r="G170" i="4"/>
  <c r="E169" i="4"/>
  <c r="G168" i="4"/>
  <c r="G167" i="4"/>
  <c r="G166" i="4"/>
  <c r="G165" i="4"/>
  <c r="G164" i="4"/>
  <c r="G163" i="4"/>
  <c r="G162" i="4"/>
  <c r="G161" i="4"/>
  <c r="E160" i="4"/>
  <c r="E179" i="4" s="1"/>
  <c r="C157" i="4"/>
  <c r="G156" i="4"/>
  <c r="G155" i="4"/>
  <c r="G154" i="4"/>
  <c r="G153" i="4"/>
  <c r="G152" i="4"/>
  <c r="G151" i="4"/>
  <c r="G150" i="4"/>
  <c r="G149" i="4"/>
  <c r="E148" i="4"/>
  <c r="G147" i="4"/>
  <c r="G146" i="4"/>
  <c r="G145" i="4"/>
  <c r="G144" i="4"/>
  <c r="G143" i="4"/>
  <c r="G142" i="4"/>
  <c r="G141" i="4"/>
  <c r="G140" i="4"/>
  <c r="E139" i="4"/>
  <c r="G138" i="4"/>
  <c r="G137" i="4"/>
  <c r="G136" i="4"/>
  <c r="G135" i="4"/>
  <c r="G134" i="4"/>
  <c r="G133" i="4"/>
  <c r="G132" i="4"/>
  <c r="G131" i="4"/>
  <c r="E130" i="4"/>
  <c r="E157" i="4" s="1"/>
  <c r="C127" i="4"/>
  <c r="G126" i="4"/>
  <c r="G125" i="4"/>
  <c r="G124" i="4"/>
  <c r="G123" i="4"/>
  <c r="G122" i="4"/>
  <c r="G121" i="4"/>
  <c r="G120" i="4"/>
  <c r="G119" i="4"/>
  <c r="E118" i="4"/>
  <c r="G117" i="4"/>
  <c r="G116" i="4"/>
  <c r="G115" i="4"/>
  <c r="G114" i="4"/>
  <c r="G113" i="4"/>
  <c r="G112" i="4"/>
  <c r="G111" i="4"/>
  <c r="G110" i="4"/>
  <c r="E109" i="4"/>
  <c r="I95" i="4"/>
  <c r="C95" i="4"/>
  <c r="G94" i="4"/>
  <c r="G93" i="4"/>
  <c r="G92" i="4"/>
  <c r="G91" i="4"/>
  <c r="G90" i="4"/>
  <c r="G89" i="4"/>
  <c r="G88" i="4"/>
  <c r="G87" i="4"/>
  <c r="E86" i="4"/>
  <c r="E95" i="4" s="1"/>
  <c r="E52" i="4"/>
  <c r="G70" i="4"/>
  <c r="G69" i="4"/>
  <c r="G68" i="4"/>
  <c r="G67" i="4"/>
  <c r="G66" i="4"/>
  <c r="G65" i="4"/>
  <c r="G64" i="4"/>
  <c r="G63" i="4"/>
  <c r="G108" i="4"/>
  <c r="G107" i="4"/>
  <c r="G105" i="4"/>
  <c r="G104" i="4"/>
  <c r="G103" i="4"/>
  <c r="G102" i="4"/>
  <c r="G101" i="4"/>
  <c r="G100" i="4"/>
  <c r="I83" i="4"/>
  <c r="C83" i="4"/>
  <c r="G82" i="4"/>
  <c r="G81" i="4"/>
  <c r="G80" i="4"/>
  <c r="G79" i="4"/>
  <c r="G78" i="4"/>
  <c r="G77" i="4"/>
  <c r="G76" i="4"/>
  <c r="G75" i="4"/>
  <c r="E74" i="4"/>
  <c r="E83" i="4" s="1"/>
  <c r="C71" i="4"/>
  <c r="G61" i="4"/>
  <c r="G60" i="4"/>
  <c r="G58" i="4"/>
  <c r="G57" i="4"/>
  <c r="G56" i="4"/>
  <c r="G55" i="4"/>
  <c r="G54" i="4"/>
  <c r="G53" i="4"/>
  <c r="G51" i="4"/>
  <c r="G50" i="4"/>
  <c r="G49" i="4"/>
  <c r="G48" i="4"/>
  <c r="G47" i="4"/>
  <c r="G46" i="4"/>
  <c r="G45" i="4"/>
  <c r="G44" i="4"/>
  <c r="E43" i="4"/>
  <c r="G42" i="4"/>
  <c r="G41" i="4"/>
  <c r="G40" i="4"/>
  <c r="G39" i="4"/>
  <c r="G38" i="4"/>
  <c r="G37" i="4"/>
  <c r="G36" i="4"/>
  <c r="G35" i="4"/>
  <c r="E34" i="4"/>
  <c r="G33" i="4"/>
  <c r="G32" i="4"/>
  <c r="G30" i="4"/>
  <c r="G29" i="4"/>
  <c r="G28" i="4"/>
  <c r="G27" i="4"/>
  <c r="G26" i="4"/>
  <c r="G25" i="4"/>
  <c r="E24" i="4"/>
  <c r="G23" i="4"/>
  <c r="J23" i="4" s="1"/>
  <c r="G22" i="4"/>
  <c r="J22" i="4" s="1"/>
  <c r="G21" i="4"/>
  <c r="G20" i="4"/>
  <c r="G18" i="4"/>
  <c r="G17" i="4"/>
  <c r="G16" i="4"/>
  <c r="G15" i="4"/>
  <c r="G14" i="4"/>
  <c r="G13" i="4"/>
  <c r="E12" i="4"/>
  <c r="G9" i="4"/>
  <c r="E8" i="4"/>
  <c r="G7" i="4"/>
  <c r="J7" i="4" s="1"/>
  <c r="E71" i="4" l="1"/>
  <c r="G200" i="4"/>
  <c r="E218" i="4"/>
  <c r="K78" i="3"/>
  <c r="K17" i="3"/>
  <c r="K63" i="3"/>
  <c r="G255" i="4"/>
  <c r="J255" i="4" s="1"/>
  <c r="G245" i="4"/>
  <c r="G254" i="4" s="1"/>
  <c r="G221" i="4"/>
  <c r="J221" i="4" s="1"/>
  <c r="G8" i="4"/>
  <c r="G279" i="4"/>
  <c r="J279" i="4" s="1"/>
  <c r="G267" i="4"/>
  <c r="J267" i="4" s="1"/>
  <c r="J209" i="4"/>
  <c r="G292" i="4"/>
  <c r="J292" i="4" s="1"/>
  <c r="G233" i="4"/>
  <c r="G242" i="4" s="1"/>
  <c r="J200" i="4"/>
  <c r="G191" i="4"/>
  <c r="J191" i="4" s="1"/>
  <c r="G182" i="4"/>
  <c r="G169" i="4"/>
  <c r="J169" i="4" s="1"/>
  <c r="J182" i="4"/>
  <c r="G130" i="4"/>
  <c r="G160" i="4"/>
  <c r="G179" i="4" s="1"/>
  <c r="G148" i="4"/>
  <c r="J148" i="4" s="1"/>
  <c r="G139" i="4"/>
  <c r="J139" i="4" s="1"/>
  <c r="G118" i="4"/>
  <c r="J118" i="4" s="1"/>
  <c r="G109" i="4"/>
  <c r="J109" i="4" s="1"/>
  <c r="G86" i="4"/>
  <c r="G95" i="4" s="1"/>
  <c r="G98" i="4"/>
  <c r="G62" i="4"/>
  <c r="J62" i="4" s="1"/>
  <c r="G12" i="4"/>
  <c r="G74" i="4"/>
  <c r="J74" i="4" s="1"/>
  <c r="G52" i="4"/>
  <c r="J52" i="4" s="1"/>
  <c r="G43" i="4"/>
  <c r="J43" i="4" s="1"/>
  <c r="G34" i="4"/>
  <c r="J34" i="4" s="1"/>
  <c r="G24" i="4"/>
  <c r="J24" i="4" s="1"/>
  <c r="G71" i="4" l="1"/>
  <c r="G218" i="4"/>
  <c r="G264" i="4"/>
  <c r="J98" i="4"/>
  <c r="G127" i="4"/>
  <c r="G276" i="4"/>
  <c r="G157" i="4"/>
  <c r="J245" i="4"/>
  <c r="G230" i="4"/>
  <c r="G301" i="4"/>
  <c r="G289" i="4"/>
  <c r="J8" i="4"/>
  <c r="J160" i="4"/>
  <c r="J233" i="4"/>
  <c r="J130" i="4"/>
  <c r="J86" i="4"/>
  <c r="G83" i="4"/>
  <c r="F116" i="3" l="1"/>
  <c r="J116" i="3"/>
  <c r="F96" i="3"/>
  <c r="J96" i="3"/>
  <c r="J91" i="3"/>
  <c r="F91" i="3"/>
  <c r="J89" i="3"/>
  <c r="F89" i="3"/>
  <c r="F77" i="3"/>
  <c r="J77" i="3"/>
  <c r="F30" i="3"/>
  <c r="J30" i="3"/>
  <c r="F25" i="3"/>
  <c r="J25" i="3"/>
  <c r="F24" i="3"/>
  <c r="J24" i="3"/>
  <c r="F21" i="3"/>
  <c r="J21" i="3"/>
  <c r="I130" i="3"/>
  <c r="H130" i="3"/>
  <c r="D130" i="3"/>
  <c r="C127" i="3"/>
  <c r="C130" i="3" s="1"/>
  <c r="F125" i="3"/>
  <c r="K125" i="3" s="1"/>
  <c r="J123" i="3"/>
  <c r="F123" i="3"/>
  <c r="J122" i="3"/>
  <c r="F122" i="3"/>
  <c r="J120" i="3"/>
  <c r="F120" i="3"/>
  <c r="J119" i="3"/>
  <c r="F119" i="3"/>
  <c r="J118" i="3"/>
  <c r="F118" i="3"/>
  <c r="J117" i="3"/>
  <c r="F117" i="3"/>
  <c r="J115" i="3"/>
  <c r="F115" i="3"/>
  <c r="J114" i="3"/>
  <c r="F114" i="3"/>
  <c r="J113" i="3"/>
  <c r="F113" i="3"/>
  <c r="J111" i="3"/>
  <c r="F111" i="3"/>
  <c r="J110" i="3"/>
  <c r="F110" i="3"/>
  <c r="J108" i="3"/>
  <c r="F108" i="3"/>
  <c r="J106" i="3"/>
  <c r="F106" i="3"/>
  <c r="J104" i="3"/>
  <c r="F104" i="3"/>
  <c r="J103" i="3"/>
  <c r="F103" i="3"/>
  <c r="J102" i="3"/>
  <c r="F102" i="3"/>
  <c r="J100" i="3"/>
  <c r="F100" i="3"/>
  <c r="J99" i="3"/>
  <c r="F99" i="3"/>
  <c r="J97" i="3"/>
  <c r="F97" i="3"/>
  <c r="J95" i="3"/>
  <c r="F95" i="3"/>
  <c r="J86" i="3"/>
  <c r="F86" i="3"/>
  <c r="J85" i="3"/>
  <c r="F85" i="3"/>
  <c r="J83" i="3"/>
  <c r="F83" i="3"/>
  <c r="J82" i="3"/>
  <c r="F82" i="3"/>
  <c r="J81" i="3"/>
  <c r="F81" i="3"/>
  <c r="J80" i="3"/>
  <c r="F80" i="3"/>
  <c r="J79" i="3"/>
  <c r="F79" i="3"/>
  <c r="K79" i="3" s="1"/>
  <c r="J76" i="3"/>
  <c r="F76" i="3"/>
  <c r="J74" i="3"/>
  <c r="F74" i="3"/>
  <c r="J73" i="3"/>
  <c r="F73" i="3"/>
  <c r="J72" i="3"/>
  <c r="F72" i="3"/>
  <c r="J71" i="3"/>
  <c r="F71" i="3"/>
  <c r="J70" i="3"/>
  <c r="F70" i="3"/>
  <c r="J69" i="3"/>
  <c r="F69" i="3"/>
  <c r="J68" i="3"/>
  <c r="F68" i="3"/>
  <c r="J67" i="3"/>
  <c r="F67" i="3"/>
  <c r="J66" i="3"/>
  <c r="F66" i="3"/>
  <c r="J64" i="3"/>
  <c r="F64" i="3"/>
  <c r="J62" i="3"/>
  <c r="F62" i="3"/>
  <c r="J61" i="3"/>
  <c r="F61" i="3"/>
  <c r="J60" i="3"/>
  <c r="F60" i="3"/>
  <c r="J59" i="3"/>
  <c r="F59" i="3"/>
  <c r="J57" i="3"/>
  <c r="F57" i="3"/>
  <c r="J56" i="3"/>
  <c r="F56" i="3"/>
  <c r="J55" i="3"/>
  <c r="F55" i="3"/>
  <c r="J54" i="3"/>
  <c r="F54" i="3"/>
  <c r="J53" i="3"/>
  <c r="F53" i="3"/>
  <c r="J52" i="3"/>
  <c r="F52" i="3"/>
  <c r="J51" i="3"/>
  <c r="F51" i="3"/>
  <c r="J50" i="3"/>
  <c r="F50" i="3"/>
  <c r="J48" i="3"/>
  <c r="F48" i="3"/>
  <c r="J47" i="3"/>
  <c r="F47" i="3"/>
  <c r="J46" i="3"/>
  <c r="F46" i="3"/>
  <c r="J45" i="3"/>
  <c r="F45" i="3"/>
  <c r="J44" i="3"/>
  <c r="F44" i="3"/>
  <c r="J42" i="3"/>
  <c r="F42" i="3"/>
  <c r="J41" i="3"/>
  <c r="F41" i="3"/>
  <c r="J40" i="3"/>
  <c r="F40" i="3"/>
  <c r="J38" i="3"/>
  <c r="F38" i="3"/>
  <c r="J37" i="3"/>
  <c r="F37" i="3"/>
  <c r="J35" i="3"/>
  <c r="F35" i="3"/>
  <c r="J34" i="3"/>
  <c r="F34" i="3"/>
  <c r="J33" i="3"/>
  <c r="F33" i="3"/>
  <c r="J29" i="3"/>
  <c r="F29" i="3"/>
  <c r="J28" i="3"/>
  <c r="F28" i="3"/>
  <c r="J27" i="3"/>
  <c r="F27" i="3"/>
  <c r="J26" i="3"/>
  <c r="F26" i="3"/>
  <c r="J23" i="3"/>
  <c r="F23" i="3"/>
  <c r="J22" i="3"/>
  <c r="F22" i="3"/>
  <c r="J20" i="3"/>
  <c r="F20" i="3"/>
  <c r="J19" i="3"/>
  <c r="F19" i="3"/>
  <c r="J18" i="3"/>
  <c r="F18" i="3"/>
  <c r="J16" i="3"/>
  <c r="F16" i="3"/>
  <c r="J15" i="3"/>
  <c r="F15" i="3"/>
  <c r="J14" i="3"/>
  <c r="F14" i="3"/>
  <c r="J13" i="3"/>
  <c r="F13" i="3"/>
  <c r="L45" i="2"/>
  <c r="L59" i="2"/>
  <c r="H34" i="1"/>
  <c r="K120" i="3" l="1"/>
  <c r="K110" i="3"/>
  <c r="K100" i="3"/>
  <c r="K89" i="3"/>
  <c r="K83" i="3"/>
  <c r="K80" i="3"/>
  <c r="K91" i="3"/>
  <c r="K70" i="3"/>
  <c r="K68" i="3"/>
  <c r="K67" i="3"/>
  <c r="K64" i="3"/>
  <c r="K61" i="3"/>
  <c r="K55" i="3"/>
  <c r="K54" i="3"/>
  <c r="K53" i="3"/>
  <c r="K52" i="3"/>
  <c r="K50" i="3"/>
  <c r="K48" i="3"/>
  <c r="K47" i="3"/>
  <c r="K46" i="3"/>
  <c r="K108" i="3"/>
  <c r="K69" i="3"/>
  <c r="K95" i="3"/>
  <c r="K35" i="3"/>
  <c r="K51" i="3"/>
  <c r="K106" i="3"/>
  <c r="K115" i="3"/>
  <c r="K116" i="3"/>
  <c r="K41" i="3"/>
  <c r="K40" i="3"/>
  <c r="K37" i="3"/>
  <c r="K34" i="3"/>
  <c r="K28" i="3"/>
  <c r="K22" i="3"/>
  <c r="K19" i="3"/>
  <c r="K18" i="3"/>
  <c r="K16" i="3"/>
  <c r="K15" i="3"/>
  <c r="K14" i="3"/>
  <c r="K123" i="3"/>
  <c r="K102" i="3"/>
  <c r="K57" i="3"/>
  <c r="K122" i="3"/>
  <c r="K66" i="3"/>
  <c r="K96" i="3"/>
  <c r="K62" i="3"/>
  <c r="K56" i="3"/>
  <c r="K60" i="3"/>
  <c r="K111" i="3"/>
  <c r="K119" i="3"/>
  <c r="K33" i="3"/>
  <c r="K77" i="3"/>
  <c r="K103" i="3"/>
  <c r="K118" i="3"/>
  <c r="K76" i="3"/>
  <c r="K117" i="3"/>
  <c r="K27" i="3"/>
  <c r="K74" i="3"/>
  <c r="K26" i="3"/>
  <c r="K85" i="3"/>
  <c r="K81" i="3"/>
  <c r="K44" i="3"/>
  <c r="K42" i="3"/>
  <c r="K114" i="3"/>
  <c r="K30" i="3"/>
  <c r="K99" i="3"/>
  <c r="K97" i="3"/>
  <c r="K25" i="3"/>
  <c r="K104" i="3"/>
  <c r="K113" i="3"/>
  <c r="K24" i="3"/>
  <c r="K21" i="3"/>
  <c r="K72" i="3"/>
  <c r="K45" i="3"/>
  <c r="K86" i="3"/>
  <c r="K71" i="3"/>
  <c r="K29" i="3"/>
  <c r="K73" i="3"/>
  <c r="K38" i="3"/>
  <c r="K13" i="3"/>
  <c r="K20" i="3"/>
  <c r="K23" i="3"/>
  <c r="K59" i="3"/>
  <c r="K82" i="3"/>
  <c r="J127" i="3"/>
  <c r="J130" i="3" s="1"/>
  <c r="F127" i="3"/>
  <c r="H67" i="2"/>
  <c r="K70" i="2"/>
  <c r="L70" i="2" s="1"/>
  <c r="L61" i="2"/>
  <c r="L63" i="2"/>
  <c r="K65" i="2"/>
  <c r="L65" i="2" s="1"/>
  <c r="H29" i="1"/>
  <c r="L67" i="2" l="1"/>
  <c r="J67" i="2"/>
  <c r="K130" i="3"/>
  <c r="F130" i="3"/>
  <c r="L22" i="2"/>
  <c r="L20" i="2"/>
  <c r="L11" i="2"/>
  <c r="H30" i="2"/>
  <c r="H41" i="2"/>
  <c r="H34" i="2"/>
  <c r="J34" i="2" s="1"/>
  <c r="L41" i="2" l="1"/>
  <c r="J41" i="2"/>
  <c r="L30" i="2"/>
  <c r="J30" i="2"/>
  <c r="H45" i="1"/>
  <c r="L34" i="2"/>
  <c r="I45" i="1"/>
  <c r="H56" i="2"/>
  <c r="H53" i="2"/>
  <c r="H38" i="2"/>
  <c r="H13" i="2"/>
  <c r="L38" i="2" l="1"/>
  <c r="J38" i="2"/>
  <c r="L53" i="2"/>
  <c r="J53" i="2"/>
  <c r="L17" i="2"/>
  <c r="J17" i="2"/>
  <c r="L56" i="2"/>
  <c r="J56" i="2"/>
  <c r="L13" i="2"/>
  <c r="J13" i="2"/>
  <c r="F72" i="2"/>
  <c r="H72" i="2" s="1"/>
  <c r="F24" i="2"/>
  <c r="H24" i="2" s="1"/>
  <c r="F20" i="2"/>
  <c r="G30" i="1"/>
  <c r="G29" i="1"/>
  <c r="D5" i="2"/>
  <c r="L24" i="2" l="1"/>
  <c r="J24" i="2"/>
  <c r="J76" i="2" s="1"/>
  <c r="J77" i="2" s="1"/>
  <c r="J78" i="2" s="1"/>
  <c r="H21" i="1"/>
  <c r="G45" i="1"/>
  <c r="H47" i="1" s="1"/>
  <c r="G21" i="1"/>
  <c r="M15" i="1" s="1"/>
  <c r="F21" i="1"/>
  <c r="M10" i="1" s="1"/>
  <c r="M17" i="1" l="1"/>
  <c r="M11" i="1"/>
  <c r="M14" i="1" s="1"/>
  <c r="D5" i="1"/>
  <c r="L76" i="2" l="1"/>
  <c r="L77" i="2" l="1"/>
  <c r="L78" i="2" s="1"/>
</calcChain>
</file>

<file path=xl/sharedStrings.xml><?xml version="1.0" encoding="utf-8"?>
<sst xmlns="http://schemas.openxmlformats.org/spreadsheetml/2006/main" count="781" uniqueCount="484">
  <si>
    <t>TO (OWNER):</t>
  </si>
  <si>
    <t>PROJECT:</t>
  </si>
  <si>
    <t>FROM (CONTRACTOR):</t>
  </si>
  <si>
    <t>McNeil &amp; Company Builders, L.L.C.</t>
  </si>
  <si>
    <t>CONTRACT FOR:</t>
  </si>
  <si>
    <t>CONTRACTOR'S APPLICATION FOR PAYMENT</t>
  </si>
  <si>
    <t>CHANGE ORDER SUMMARY</t>
  </si>
  <si>
    <t>ORIGINAL CONTRACT SUM</t>
  </si>
  <si>
    <t>NET CHANGE BY CHANGE ORDERS</t>
  </si>
  <si>
    <t>CONTRACT SUM TO DATE</t>
  </si>
  <si>
    <t>CURRENT PAYMENT DUE</t>
  </si>
  <si>
    <t>BALANCE TO FINISH, INCLUDING FEE</t>
  </si>
  <si>
    <t>TOTAL</t>
  </si>
  <si>
    <t>APPLICATION DATE:</t>
  </si>
  <si>
    <t>DESCRIPTION</t>
  </si>
  <si>
    <t>VALUE</t>
  </si>
  <si>
    <t>Upon Signed Agreement - Deposit</t>
  </si>
  <si>
    <t>Upon Completion of Pouring Foundation</t>
  </si>
  <si>
    <t>Upon Beginning of Drywall</t>
  </si>
  <si>
    <t>Upon Beginning of Cabinetry Installation</t>
  </si>
  <si>
    <t>Upon Beginning of Painting</t>
  </si>
  <si>
    <t>Upon Substantial Completion of the Residence</t>
  </si>
  <si>
    <t>BILLING SCHEDULE</t>
  </si>
  <si>
    <t>TOTAL PREVIOUS COST</t>
  </si>
  <si>
    <t>ORIGINAL SCHEDULED VALUE</t>
  </si>
  <si>
    <t>Per the Residential Building Agreement</t>
  </si>
  <si>
    <t>TOTAL DUE THIS PERIOD</t>
  </si>
  <si>
    <t>Application is made for Payment, as shown below.</t>
  </si>
  <si>
    <t>NUMBER</t>
  </si>
  <si>
    <t>APPLICATION NO.:</t>
  </si>
  <si>
    <t>APPROVED TOTAL VALUE</t>
  </si>
  <si>
    <t>PAID PREVIOUS</t>
  </si>
  <si>
    <t>DUE THIS PERIOD</t>
  </si>
  <si>
    <t>Schachne Residence</t>
  </si>
  <si>
    <t>Upon Completion of Main Level Floor Framing</t>
  </si>
  <si>
    <t>Upon Completion of Window Installation</t>
  </si>
  <si>
    <t>Upon Beginning of Electrical Rough-in</t>
  </si>
  <si>
    <t>Upon Completion of Driveway Concrete</t>
  </si>
  <si>
    <r>
      <rPr>
        <b/>
        <sz val="11"/>
        <rFont val="Arial"/>
        <family val="2"/>
      </rPr>
      <t>Windows</t>
    </r>
    <r>
      <rPr>
        <sz val="11"/>
        <rFont val="Arial"/>
        <family val="2"/>
      </rPr>
      <t xml:space="preserve"> - upgrade the window package to Marvin Narrow Frame Series in lieu of Pella Lifestyle Series</t>
    </r>
  </si>
  <si>
    <r>
      <rPr>
        <b/>
        <sz val="11"/>
        <rFont val="Arial"/>
        <family val="2"/>
      </rPr>
      <t>Water Treatment</t>
    </r>
    <r>
      <rPr>
        <sz val="11"/>
        <rFont val="Arial"/>
        <family val="2"/>
      </rPr>
      <t xml:space="preserve"> - change to a Potassium System in lieu of a Salt System</t>
    </r>
  </si>
  <si>
    <t>ALLOWANCES SUMMARY</t>
  </si>
  <si>
    <t>ORIGINAL BUDGET</t>
  </si>
  <si>
    <t>ADJUSTED BUDGET</t>
  </si>
  <si>
    <t>VARIANCE</t>
  </si>
  <si>
    <t>Appliance Allowance</t>
  </si>
  <si>
    <t>Light Fixture Allowance</t>
  </si>
  <si>
    <t>AV Prewire / Security Allowance</t>
  </si>
  <si>
    <t>Tile Allowances (Floors, Showers, Backsplash Tile)</t>
  </si>
  <si>
    <t>Cabinetry Allowance</t>
  </si>
  <si>
    <t>Fireplace Facing Allowance</t>
  </si>
  <si>
    <t>Front Entry Door Allowance</t>
  </si>
  <si>
    <t>Finish Hardware Allowance</t>
  </si>
  <si>
    <t>Closet Systems Allowance</t>
  </si>
  <si>
    <t>Mirrors / Glass / Shower Door Allowance</t>
  </si>
  <si>
    <t>Carpet Allowance</t>
  </si>
  <si>
    <t>Water Treatment Allowance</t>
  </si>
  <si>
    <t>Paver Allowance</t>
  </si>
  <si>
    <t>Landscape Lighting Allowance</t>
  </si>
  <si>
    <t>Sprinkler System / Sod Allowance</t>
  </si>
  <si>
    <t>Retaining Wall Allowance</t>
  </si>
  <si>
    <t>Landscaping Allowance (including any buried drainage)</t>
  </si>
  <si>
    <t>Framing &amp; Structural Steel Allowance</t>
  </si>
  <si>
    <t>subtotal variance</t>
  </si>
  <si>
    <t>fee per agreement</t>
  </si>
  <si>
    <t>TOTAL ALLOWANCE ADJUSTMENT</t>
  </si>
  <si>
    <r>
      <rPr>
        <b/>
        <sz val="11"/>
        <rFont val="Arial"/>
        <family val="2"/>
      </rPr>
      <t>Final Bid Meeting Changes</t>
    </r>
    <r>
      <rPr>
        <sz val="11"/>
        <rFont val="Arial"/>
        <family val="2"/>
      </rPr>
      <t xml:space="preserve"> - Add Powder Bath ($8125), Add double doors at the Den ($4714), Add a Iron-A-Way in the Master Wardrobe ($1773)</t>
    </r>
  </si>
  <si>
    <r>
      <rPr>
        <b/>
        <sz val="11"/>
        <rFont val="Arial"/>
        <family val="2"/>
      </rPr>
      <t>HVAC</t>
    </r>
    <r>
      <rPr>
        <sz val="11"/>
        <rFont val="Arial"/>
        <family val="2"/>
      </rPr>
      <t xml:space="preserve"> - upgrade HVAC equipment to 99% efficiency ($4888), add the PureAir Purification System ($1992), and add a gas heater in the garage $(5693)</t>
    </r>
  </si>
  <si>
    <t>Plumbing Fixture &amp; Bath Accessories Allowance</t>
  </si>
  <si>
    <t>Wood Floor Allowance</t>
  </si>
  <si>
    <t>Countertop &amp; Kitchen Hood Allowance</t>
  </si>
  <si>
    <r>
      <rPr>
        <b/>
        <sz val="11"/>
        <rFont val="Arial"/>
        <family val="2"/>
      </rPr>
      <t>Interior Doors</t>
    </r>
    <r>
      <rPr>
        <sz val="11"/>
        <rFont val="Arial"/>
        <family val="2"/>
      </rPr>
      <t xml:space="preserve"> - door style selection less than budgeted door style</t>
    </r>
  </si>
  <si>
    <t>Change Guest &amp; Bath 3 shower floors to tile</t>
  </si>
  <si>
    <t>Add Powder Bath</t>
  </si>
  <si>
    <t>Add Powder Bath ($1841 PF, $459 Bath)</t>
  </si>
  <si>
    <t>Add Powder Bath/Service Entry Changes</t>
  </si>
  <si>
    <t>Add double Office doors</t>
  </si>
  <si>
    <t>PAYMENT DUE BY:</t>
  </si>
  <si>
    <t>Sydney Schachne</t>
  </si>
  <si>
    <t>ALLOWANCE CHANGES</t>
  </si>
  <si>
    <t>APPROXIMATE BUYOUT COST</t>
  </si>
  <si>
    <t>ALLOWANCE SUMMARY</t>
  </si>
  <si>
    <t>See Page B for a summary of costs, which will be finalized and applied to the Final Payment.</t>
  </si>
  <si>
    <r>
      <rPr>
        <b/>
        <sz val="11"/>
        <rFont val="Arial"/>
        <family val="2"/>
      </rPr>
      <t>Elevator</t>
    </r>
    <r>
      <rPr>
        <sz val="11"/>
        <rFont val="Arial"/>
        <family val="2"/>
      </rPr>
      <t xml:space="preserve"> - delete elevator and turn elevator shaft into (2) finished closet spaces (not including closet systems)</t>
    </r>
  </si>
  <si>
    <t>Lighting Control Allowance</t>
  </si>
  <si>
    <t>in Allowance Summary</t>
  </si>
  <si>
    <r>
      <rPr>
        <b/>
        <sz val="11"/>
        <rFont val="Arial"/>
        <family val="2"/>
      </rPr>
      <t>TV's</t>
    </r>
    <r>
      <rPr>
        <sz val="11"/>
        <rFont val="Arial"/>
        <family val="2"/>
      </rPr>
      <t xml:space="preserve"> - TV's supplied and installed at Master Bedroom, Dining Room, and Lower Level Family Room (fee not applied)</t>
    </r>
  </si>
  <si>
    <t>TOTAL BILLED TO DATE</t>
  </si>
  <si>
    <t>Change Guest &amp; Bath 3 shower floors to tile, in lieu of fiberglass pans ($743 each)</t>
  </si>
  <si>
    <t>Master Bedroom, Stair Landing, Office, Wardrobe 2, &amp; Fitness wood floor allowance changed to carpet</t>
  </si>
  <si>
    <t>Kitchen/Dining tile allowance changed to wood floors</t>
  </si>
  <si>
    <t>Primary Wardrobe tile allowance changed to carpet</t>
  </si>
  <si>
    <t>Backsplash tile changed to countertops materials</t>
  </si>
  <si>
    <t>Changed window wells to retaining wall block in lieu of poured walls (budget from foundation phase)</t>
  </si>
  <si>
    <r>
      <rPr>
        <b/>
        <sz val="11"/>
        <rFont val="Arial"/>
        <family val="2"/>
      </rPr>
      <t>Siding</t>
    </r>
    <r>
      <rPr>
        <sz val="11"/>
        <rFont val="Arial"/>
        <family val="2"/>
      </rPr>
      <t xml:space="preserve"> - change siding to a larger size (12") at all areas other than the front accents</t>
    </r>
  </si>
  <si>
    <r>
      <rPr>
        <b/>
        <sz val="11"/>
        <rFont val="Arial"/>
        <family val="2"/>
      </rPr>
      <t>Generator</t>
    </r>
    <r>
      <rPr>
        <sz val="11"/>
        <rFont val="Arial"/>
        <family val="2"/>
      </rPr>
      <t xml:space="preserve"> - complete installation of a 14kW generator</t>
    </r>
  </si>
  <si>
    <r>
      <rPr>
        <b/>
        <sz val="11"/>
        <rFont val="Arial"/>
        <family val="2"/>
      </rPr>
      <t>Fence</t>
    </r>
    <r>
      <rPr>
        <sz val="11"/>
        <rFont val="Arial"/>
        <family val="2"/>
      </rPr>
      <t xml:space="preserve"> - Add fence at rear yard, connecting into existing surrounding fences</t>
    </r>
  </si>
  <si>
    <r>
      <rPr>
        <b/>
        <sz val="11"/>
        <rFont val="Arial"/>
        <family val="2"/>
      </rPr>
      <t>Leaf Gutter Guards</t>
    </r>
    <r>
      <rPr>
        <sz val="11"/>
        <rFont val="Arial"/>
        <family val="2"/>
      </rPr>
      <t xml:space="preserve"> - Add leaf guards to gutters</t>
    </r>
  </si>
  <si>
    <t>APPLICATION NUMBER:</t>
  </si>
  <si>
    <t>PAYMENT DUE DATE:</t>
  </si>
  <si>
    <t>A</t>
  </si>
  <si>
    <t>B</t>
  </si>
  <si>
    <t>C</t>
  </si>
  <si>
    <t>D</t>
  </si>
  <si>
    <t>MCNEIL</t>
  </si>
  <si>
    <t>E</t>
  </si>
  <si>
    <t>MCNEIL TEAM</t>
  </si>
  <si>
    <t>F</t>
  </si>
  <si>
    <t>H</t>
  </si>
  <si>
    <t>ITEM</t>
  </si>
  <si>
    <t>DESCRIPTION OF WORK</t>
  </si>
  <si>
    <t>ORIGINAL</t>
  </si>
  <si>
    <t>CHANGE</t>
  </si>
  <si>
    <t>CURRENT</t>
  </si>
  <si>
    <t>ACCRUAL</t>
  </si>
  <si>
    <t xml:space="preserve">TOTAL </t>
  </si>
  <si>
    <t>NO</t>
  </si>
  <si>
    <t>SCHEDULED</t>
  </si>
  <si>
    <t>ORDER</t>
  </si>
  <si>
    <t>INVOICED</t>
  </si>
  <si>
    <t>AMOUNT</t>
  </si>
  <si>
    <t>COMPLETED</t>
  </si>
  <si>
    <t>TO FINISH</t>
  </si>
  <si>
    <t>01-000</t>
  </si>
  <si>
    <t>General Requirements</t>
  </si>
  <si>
    <t>01-120</t>
  </si>
  <si>
    <t>Superintendent</t>
  </si>
  <si>
    <t>01-170</t>
  </si>
  <si>
    <t>Travel/Pickup/Delivery</t>
  </si>
  <si>
    <t>01-205</t>
  </si>
  <si>
    <t>MUD Fees</t>
  </si>
  <si>
    <t>01-214</t>
  </si>
  <si>
    <t>Permits</t>
  </si>
  <si>
    <t>01-230</t>
  </si>
  <si>
    <t>Builder's Risk</t>
  </si>
  <si>
    <t>01-235</t>
  </si>
  <si>
    <t>General Liability</t>
  </si>
  <si>
    <t>01-253</t>
  </si>
  <si>
    <t>Safety Supplies</t>
  </si>
  <si>
    <t>01-501</t>
  </si>
  <si>
    <t>Temporary Utilities &amp; Toilets</t>
  </si>
  <si>
    <t>01-531</t>
  </si>
  <si>
    <t>Technology</t>
  </si>
  <si>
    <t>01-560</t>
  </si>
  <si>
    <t>Temporary Barries/Enclosures</t>
  </si>
  <si>
    <t>01-740</t>
  </si>
  <si>
    <t>Cleaning &amp; Waste Management</t>
  </si>
  <si>
    <t>01-810</t>
  </si>
  <si>
    <t>Warranties</t>
  </si>
  <si>
    <t>01-830</t>
  </si>
  <si>
    <t>Small Tools/Supplies/Rental</t>
  </si>
  <si>
    <t>02-000</t>
  </si>
  <si>
    <t>Existing Conditions</t>
  </si>
  <si>
    <t>03-000</t>
  </si>
  <si>
    <t>Concrete</t>
  </si>
  <si>
    <t>03-300</t>
  </si>
  <si>
    <t>Footings/Foundations</t>
  </si>
  <si>
    <t>03-320</t>
  </si>
  <si>
    <t>Interior Concrete Flatwork</t>
  </si>
  <si>
    <t>03-455</t>
  </si>
  <si>
    <t>Precast Sills/Caps</t>
  </si>
  <si>
    <t>04-000</t>
  </si>
  <si>
    <t>Masonry</t>
  </si>
  <si>
    <t>04-220</t>
  </si>
  <si>
    <t>Concrete Unit Masonry (CMU)</t>
  </si>
  <si>
    <t>05-000</t>
  </si>
  <si>
    <t>Metal</t>
  </si>
  <si>
    <t>05-120</t>
  </si>
  <si>
    <t>Structural Steel - Material</t>
  </si>
  <si>
    <t>05-528</t>
  </si>
  <si>
    <t>Interior Railing</t>
  </si>
  <si>
    <t>06-000</t>
  </si>
  <si>
    <t>Carpentry</t>
  </si>
  <si>
    <t>06-110</t>
  </si>
  <si>
    <t>Wood Framing</t>
  </si>
  <si>
    <t>06-380</t>
  </si>
  <si>
    <t>Architectural Wood Casework</t>
  </si>
  <si>
    <t>06-440</t>
  </si>
  <si>
    <t>Exterior Carsiding</t>
  </si>
  <si>
    <t>06-460</t>
  </si>
  <si>
    <t>Wood Trim</t>
  </si>
  <si>
    <t>06-612</t>
  </si>
  <si>
    <t>Stone/Quartz Countertops</t>
  </si>
  <si>
    <t>07-000</t>
  </si>
  <si>
    <t>Moisture/Thermal Protection</t>
  </si>
  <si>
    <t>07-130</t>
  </si>
  <si>
    <t>Waterproofing</t>
  </si>
  <si>
    <t>07-210</t>
  </si>
  <si>
    <t>Insulation</t>
  </si>
  <si>
    <t>07-250</t>
  </si>
  <si>
    <t>07-455</t>
  </si>
  <si>
    <t>Siding</t>
  </si>
  <si>
    <t>07-554</t>
  </si>
  <si>
    <t>Composite Roof</t>
  </si>
  <si>
    <t>07-600</t>
  </si>
  <si>
    <t>Flashing/Brick Ledge</t>
  </si>
  <si>
    <t>07-630</t>
  </si>
  <si>
    <t>Gutters/Downspouts</t>
  </si>
  <si>
    <t>07-920</t>
  </si>
  <si>
    <t>Joint Sealants</t>
  </si>
  <si>
    <t>08-000</t>
  </si>
  <si>
    <t>Doors/Windows/Glazing</t>
  </si>
  <si>
    <t>08-140</t>
  </si>
  <si>
    <t>Interior Wood Doors</t>
  </si>
  <si>
    <t>08-178</t>
  </si>
  <si>
    <t>Front Door</t>
  </si>
  <si>
    <t>08-385</t>
  </si>
  <si>
    <t>Garage Door</t>
  </si>
  <si>
    <t>08-500</t>
  </si>
  <si>
    <t>Windows</t>
  </si>
  <si>
    <t>08-817</t>
  </si>
  <si>
    <t>09-000</t>
  </si>
  <si>
    <t>Finishes</t>
  </si>
  <si>
    <t>09-200</t>
  </si>
  <si>
    <t>Drywall</t>
  </si>
  <si>
    <t>09-360</t>
  </si>
  <si>
    <t>Floor Tile</t>
  </si>
  <si>
    <t>09-362</t>
  </si>
  <si>
    <t>Tile Backsplash</t>
  </si>
  <si>
    <t>09-364</t>
  </si>
  <si>
    <t>Wall Tile/Columns</t>
  </si>
  <si>
    <t>09-368</t>
  </si>
  <si>
    <t>Shower/Tub Tile</t>
  </si>
  <si>
    <t>09-640</t>
  </si>
  <si>
    <t>Wood Flooring</t>
  </si>
  <si>
    <t>09-672</t>
  </si>
  <si>
    <t>Epoxy Flooring</t>
  </si>
  <si>
    <t>09-680</t>
  </si>
  <si>
    <t>Carpeting</t>
  </si>
  <si>
    <t>09-910</t>
  </si>
  <si>
    <t>Painting</t>
  </si>
  <si>
    <t>10-000</t>
  </si>
  <si>
    <t>Specialties</t>
  </si>
  <si>
    <t>10-050</t>
  </si>
  <si>
    <t>10-310</t>
  </si>
  <si>
    <t>Fireplaces</t>
  </si>
  <si>
    <t>10-314</t>
  </si>
  <si>
    <t>Fireplace Facings</t>
  </si>
  <si>
    <t>10-552</t>
  </si>
  <si>
    <t>Mailboxes</t>
  </si>
  <si>
    <t>10-562</t>
  </si>
  <si>
    <t>Storage Shelving</t>
  </si>
  <si>
    <t>10-572</t>
  </si>
  <si>
    <t>Closet Shelving</t>
  </si>
  <si>
    <t>11-000</t>
  </si>
  <si>
    <t>Architectural Equipment</t>
  </si>
  <si>
    <t>11-302</t>
  </si>
  <si>
    <t>Residential Appliances</t>
  </si>
  <si>
    <t>11-520</t>
  </si>
  <si>
    <t>TV's</t>
  </si>
  <si>
    <t>12-000</t>
  </si>
  <si>
    <t>Furnishings</t>
  </si>
  <si>
    <t>13-000</t>
  </si>
  <si>
    <t>Special Construction</t>
  </si>
  <si>
    <t>14-000</t>
  </si>
  <si>
    <t>Conveying Systems</t>
  </si>
  <si>
    <t>22-000</t>
  </si>
  <si>
    <t>Plumbing</t>
  </si>
  <si>
    <t>22-050</t>
  </si>
  <si>
    <t>22-400</t>
  </si>
  <si>
    <t>23-000</t>
  </si>
  <si>
    <t>HVAC</t>
  </si>
  <si>
    <t>23-050</t>
  </si>
  <si>
    <t>23-400</t>
  </si>
  <si>
    <t>Duct Cleaning</t>
  </si>
  <si>
    <t>26-000</t>
  </si>
  <si>
    <t>Electrical</t>
  </si>
  <si>
    <t>26-050</t>
  </si>
  <si>
    <t>26-505</t>
  </si>
  <si>
    <t>Light Fixtures Allowance</t>
  </si>
  <si>
    <t>26-570</t>
  </si>
  <si>
    <t>Lighting Control System</t>
  </si>
  <si>
    <t>27-000</t>
  </si>
  <si>
    <t>Communications</t>
  </si>
  <si>
    <t>27-410</t>
  </si>
  <si>
    <t>AV Systems</t>
  </si>
  <si>
    <t>28-000</t>
  </si>
  <si>
    <t>Electronic Safety &amp; Security</t>
  </si>
  <si>
    <t>28-070</t>
  </si>
  <si>
    <t>31-000</t>
  </si>
  <si>
    <t>Earthwork</t>
  </si>
  <si>
    <t>31-230</t>
  </si>
  <si>
    <t>31-260</t>
  </si>
  <si>
    <t>Surveying</t>
  </si>
  <si>
    <t>32-000</t>
  </si>
  <si>
    <t>Exterior Improvements</t>
  </si>
  <si>
    <t>32-130</t>
  </si>
  <si>
    <t>Exterior Concrete</t>
  </si>
  <si>
    <t>32-140</t>
  </si>
  <si>
    <t>32-300</t>
  </si>
  <si>
    <t>32-310</t>
  </si>
  <si>
    <t>Fences &amp; Gates</t>
  </si>
  <si>
    <t>32-803</t>
  </si>
  <si>
    <t>32-924</t>
  </si>
  <si>
    <t>32-931</t>
  </si>
  <si>
    <t>33-000</t>
  </si>
  <si>
    <t>Utilities</t>
  </si>
  <si>
    <t>33-100</t>
  </si>
  <si>
    <t>33-460</t>
  </si>
  <si>
    <t>Underground Buried Drainage</t>
  </si>
  <si>
    <t>50-050</t>
  </si>
  <si>
    <t>Contingency</t>
  </si>
  <si>
    <t>Contractor's Fee</t>
  </si>
  <si>
    <t>TOTALS</t>
  </si>
  <si>
    <t>FINAL</t>
  </si>
  <si>
    <t>TO DATE</t>
  </si>
  <si>
    <t>FINAL RECONCILIATION REPORT</t>
  </si>
  <si>
    <t>Job Number</t>
  </si>
  <si>
    <t>JTD Labor</t>
  </si>
  <si>
    <t>Cost Code</t>
  </si>
  <si>
    <t>Description</t>
  </si>
  <si>
    <t>JTD Total Labor Hours</t>
  </si>
  <si>
    <t>Billable Hours</t>
  </si>
  <si>
    <t>Billing Rate</t>
  </si>
  <si>
    <t>Total Billable Cost</t>
  </si>
  <si>
    <t>Job Cost Report Total</t>
  </si>
  <si>
    <t xml:space="preserve">Billing Difference </t>
  </si>
  <si>
    <t xml:space="preserve">   01-000</t>
  </si>
  <si>
    <t xml:space="preserve">GENERAL REQUIREMENTS   </t>
  </si>
  <si>
    <t xml:space="preserve">   01-117</t>
  </si>
  <si>
    <t xml:space="preserve">Project Engineer Intern   </t>
  </si>
  <si>
    <t xml:space="preserve">   01-120</t>
  </si>
  <si>
    <t xml:space="preserve">Superintendent   </t>
  </si>
  <si>
    <t xml:space="preserve">   01-125</t>
  </si>
  <si>
    <t xml:space="preserve">Assistant Superintendent   </t>
  </si>
  <si>
    <t xml:space="preserve">   01-130</t>
  </si>
  <si>
    <t xml:space="preserve">Project Manager   </t>
  </si>
  <si>
    <t xml:space="preserve">   01-140</t>
  </si>
  <si>
    <t xml:space="preserve">Estimator   </t>
  </si>
  <si>
    <t xml:space="preserve">   01-170</t>
  </si>
  <si>
    <t xml:space="preserve">Travel/Pickup/Deliveries   </t>
  </si>
  <si>
    <t xml:space="preserve">   01-560</t>
  </si>
  <si>
    <t xml:space="preserve">Temp Barriers/Enclosures   </t>
  </si>
  <si>
    <t xml:space="preserve">   01-740</t>
  </si>
  <si>
    <t xml:space="preserve">Cleaning &amp; Waste Management   </t>
  </si>
  <si>
    <t>Employee</t>
  </si>
  <si>
    <t>01-454</t>
  </si>
  <si>
    <t>Mockups</t>
  </si>
  <si>
    <t>01-545</t>
  </si>
  <si>
    <t>Forklift/Lull</t>
  </si>
  <si>
    <t>01-547</t>
  </si>
  <si>
    <t>Skid Loader</t>
  </si>
  <si>
    <t>01-840</t>
  </si>
  <si>
    <t>Punchlist</t>
  </si>
  <si>
    <t>04-430</t>
  </si>
  <si>
    <t>Stone Masonry</t>
  </si>
  <si>
    <t>05-700</t>
  </si>
  <si>
    <t>Decorative Metal</t>
  </si>
  <si>
    <t>EIFS System</t>
  </si>
  <si>
    <t>08-600</t>
  </si>
  <si>
    <t>Roof Tunnels/Skylights</t>
  </si>
  <si>
    <t>Mirrors/Glass Inserts/Shower Doors</t>
  </si>
  <si>
    <t>10-140</t>
  </si>
  <si>
    <t>Signage (Address)</t>
  </si>
  <si>
    <t>13-342</t>
  </si>
  <si>
    <t>Screen Porch Systems</t>
  </si>
  <si>
    <t>14-050</t>
  </si>
  <si>
    <t>Elevator</t>
  </si>
  <si>
    <t>22-322</t>
  </si>
  <si>
    <t>Water Filtration System</t>
  </si>
  <si>
    <t>Plumbing Fixtures &amp; Bath Accessories</t>
  </si>
  <si>
    <t>Security System Allowance/Video</t>
  </si>
  <si>
    <t>Excavation/Grading/Silt Fence/Fill</t>
  </si>
  <si>
    <t>32-320</t>
  </si>
  <si>
    <t>Retaining Walls Allowance</t>
  </si>
  <si>
    <t>Irrigation Allowance</t>
  </si>
  <si>
    <t>Sod/Fine Grading Allowance</t>
  </si>
  <si>
    <t>Landscaping Allowance</t>
  </si>
  <si>
    <t>Water/Sewer Utilities</t>
  </si>
  <si>
    <t>MASONRY</t>
  </si>
  <si>
    <t>CARPENTRY</t>
  </si>
  <si>
    <t>Cabinetry</t>
  </si>
  <si>
    <t>MOISTURE/THERM PROTECTION</t>
  </si>
  <si>
    <t>FINISHES</t>
  </si>
  <si>
    <t>SPECIALTIES</t>
  </si>
  <si>
    <t>EQUIPMENT</t>
  </si>
  <si>
    <t>17-500</t>
  </si>
  <si>
    <t>PLUMBING</t>
  </si>
  <si>
    <t>Ron Milhan - 197</t>
  </si>
  <si>
    <t>Chris Magner</t>
  </si>
  <si>
    <t>Ron Townsend - 178</t>
  </si>
  <si>
    <t>Max Fuerstenau - 204</t>
  </si>
  <si>
    <t>Austin Stroh - 242</t>
  </si>
  <si>
    <t>Braden Dall - 239</t>
  </si>
  <si>
    <t>Caleb Fossenbarger - 235</t>
  </si>
  <si>
    <t>Nathan Milhan - 233</t>
  </si>
  <si>
    <t xml:space="preserve">TJ Ingram </t>
  </si>
  <si>
    <t>Jo Nutter - 188</t>
  </si>
  <si>
    <t>06-0000</t>
  </si>
  <si>
    <t>03-0000</t>
  </si>
  <si>
    <t>CONCRETE</t>
  </si>
  <si>
    <t>Concrete Flatwork</t>
  </si>
  <si>
    <t>04-0000</t>
  </si>
  <si>
    <t>07-0000</t>
  </si>
  <si>
    <t>Composite Roofing</t>
  </si>
  <si>
    <t>Flashing</t>
  </si>
  <si>
    <t>08-0000</t>
  </si>
  <si>
    <t>OPENINGS</t>
  </si>
  <si>
    <t>Sun Tunnels</t>
  </si>
  <si>
    <t>09-0000</t>
  </si>
  <si>
    <t>10-0000</t>
  </si>
  <si>
    <t>Mailbox</t>
  </si>
  <si>
    <t>11-0000</t>
  </si>
  <si>
    <t>Appliances</t>
  </si>
  <si>
    <t>17-0000</t>
  </si>
  <si>
    <t>DESIGN</t>
  </si>
  <si>
    <t>Construction Admin Nonbillable</t>
  </si>
  <si>
    <t>17-600</t>
  </si>
  <si>
    <t>Construction Admin Billable</t>
  </si>
  <si>
    <t>22-0000</t>
  </si>
  <si>
    <t>31-0000</t>
  </si>
  <si>
    <t>EARTHWORK</t>
  </si>
  <si>
    <t>Dirt Work</t>
  </si>
  <si>
    <t>32-0000</t>
  </si>
  <si>
    <t>EXTERIOR IMPROVEMENTS</t>
  </si>
  <si>
    <t>Jake Tyler</t>
  </si>
  <si>
    <t>01-216</t>
  </si>
  <si>
    <t>OPPD Fees</t>
  </si>
  <si>
    <t>accrue final JEM invoice</t>
  </si>
  <si>
    <t>accrue for Elite invoice</t>
  </si>
  <si>
    <t>accrue for final Shaver invoice</t>
  </si>
  <si>
    <t>accrue Greg's final invoice (7/4/2026)</t>
  </si>
  <si>
    <t>missing labor to install</t>
  </si>
  <si>
    <t>10-295</t>
  </si>
  <si>
    <t>Iron-A-Way</t>
  </si>
  <si>
    <t>accrue final invoice from Omarail</t>
  </si>
  <si>
    <t>CO6 $(40,063)</t>
  </si>
  <si>
    <t>CO8 $500</t>
  </si>
  <si>
    <t>CO10 $9850</t>
  </si>
  <si>
    <t>CO11 $3340</t>
  </si>
  <si>
    <t>CO1 $1907 / CO2 $1641 / CO3 $2885.35 / CO5 $(402) / CO6 $(5830) / CO8 $75 / CO9 $2442 / CO10 $1478 / CO11 $501</t>
  </si>
  <si>
    <t>CO1 $721</t>
  </si>
  <si>
    <t>CO1 $3100 / CO5 $(2680)</t>
  </si>
  <si>
    <t>CO1 $885</t>
  </si>
  <si>
    <t>CO1 $225 / CO6 $1200</t>
  </si>
  <si>
    <t>CO1 $775</t>
  </si>
  <si>
    <t>CO1 $2475</t>
  </si>
  <si>
    <t>CO1 $1020 / CO9 $16,280</t>
  </si>
  <si>
    <t>CO1 $1296</t>
  </si>
  <si>
    <t>FINAL BUYOUT COST</t>
  </si>
  <si>
    <t>FINAL VARIANCE</t>
  </si>
  <si>
    <t>accrue for final IDF invoice</t>
  </si>
  <si>
    <t>ICO7 $(13504)</t>
  </si>
  <si>
    <t>no charge</t>
  </si>
  <si>
    <t>CO2 $19235.68</t>
  </si>
  <si>
    <t>Added double doors at Den</t>
  </si>
  <si>
    <t>ICO8 $(2500)</t>
  </si>
  <si>
    <t>ICO8 $2500</t>
  </si>
  <si>
    <t>accrue for Sandstone invoice 7/7/2026</t>
  </si>
  <si>
    <t>Nate Marrinan</t>
  </si>
  <si>
    <t>accrue for D&amp;K final invoice</t>
  </si>
  <si>
    <r>
      <rPr>
        <b/>
        <sz val="11"/>
        <rFont val="Arial"/>
        <family val="2"/>
      </rPr>
      <t>HVAC</t>
    </r>
    <r>
      <rPr>
        <sz val="11"/>
        <rFont val="Arial"/>
        <family val="2"/>
      </rPr>
      <t xml:space="preserve"> - credit upgrade HVAC equipment to 99% efficiency from Change Order #2</t>
    </r>
  </si>
  <si>
    <t>accrue for Josh invoice</t>
  </si>
  <si>
    <t>18-000</t>
  </si>
  <si>
    <t>Miscellaneous</t>
  </si>
  <si>
    <t>18-050</t>
  </si>
  <si>
    <t>Miscellaneous (Labor)</t>
  </si>
  <si>
    <t>CO1 $375 / CO2 $10,932 / CO12 $(4250)</t>
  </si>
  <si>
    <t>COA $(1487)</t>
  </si>
  <si>
    <t>CO1 $1841+$459 / ICO1 $(1486) / COA $5677</t>
  </si>
  <si>
    <t>CO1 $500 / COA $(16694)</t>
  </si>
  <si>
    <t>ICO9 $(4750)</t>
  </si>
  <si>
    <t>accrue final Simplifi invoice, SEI 7208, Simplifi 2356</t>
  </si>
  <si>
    <t>COA $29608 (includes electrical change order)</t>
  </si>
  <si>
    <t>ICO9 $4750 / COA $10619</t>
  </si>
  <si>
    <t>ICO1 $1486 / ICO2 $19,515 / ICO4 $(15,725) / ICO5 $(2376) / COA $12442</t>
  </si>
  <si>
    <t>ICO4 $15,725 / ICO6 $(6986) / COA $(8728)</t>
  </si>
  <si>
    <t>CO1 $462 / ICO3 $2200 / COA $2906</t>
  </si>
  <si>
    <t>CO1 $(1972) / COA $(10060.50)</t>
  </si>
  <si>
    <t>ICO5 $2376 / ICO6 $6986 / COA $2221</t>
  </si>
  <si>
    <t>COA $(5222.50)</t>
  </si>
  <si>
    <t>CO1 $793 / COA $(412.50)</t>
  </si>
  <si>
    <t>CO1 $(785) / COA $(3406)</t>
  </si>
  <si>
    <t>CO1 $575 / COA $(851.25)</t>
  </si>
  <si>
    <t>COA $(5104)</t>
  </si>
  <si>
    <t>COA $10720</t>
  </si>
  <si>
    <t>COA $(11260)</t>
  </si>
  <si>
    <t>ICO10 $(4250)</t>
  </si>
  <si>
    <t>ICO10 $4250 / COA $4835</t>
  </si>
  <si>
    <t>ICO $(12965)</t>
  </si>
  <si>
    <t>ICO11 $12965 / COA$2766</t>
  </si>
  <si>
    <t>ICO7 $13504 / COA $13106</t>
  </si>
  <si>
    <t>COA $(2399)</t>
  </si>
  <si>
    <t>CO7 $4773</t>
  </si>
  <si>
    <t>SUB-FINAL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</si>
</sst>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11"/>
      <color theme="1"/>
      <name val="Arial"/>
      <family val="2"/>
    </font>
    <font>
      <i/>
      <sz val="1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i/>
      <sz val="8"/>
      <name val="Arial"/>
      <family val="2"/>
    </font>
    <font>
      <sz val="8"/>
      <color theme="1"/>
      <name val="Arial"/>
      <family val="2"/>
    </font>
    <font>
      <i/>
      <sz val="10"/>
      <name val="Arial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4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Arial"/>
      <family val="2"/>
    </font>
    <font>
      <sz val="9"/>
      <color rgb="FFFF0000"/>
      <name val="Arial"/>
      <family val="2"/>
    </font>
    <font>
      <sz val="9"/>
      <color rgb="FF00B050"/>
      <name val="Arial"/>
      <family val="2"/>
    </font>
    <font>
      <b/>
      <i/>
      <sz val="11"/>
      <name val="Arial"/>
      <family val="2"/>
    </font>
    <font>
      <b/>
      <i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42">
    <xf numFmtId="0" fontId="0" fillId="0" borderId="0" xfId="0"/>
    <xf numFmtId="0" fontId="2" fillId="0" borderId="1" xfId="0" applyFont="1" applyBorder="1"/>
    <xf numFmtId="0" fontId="5" fillId="0" borderId="0" xfId="0" applyFont="1"/>
    <xf numFmtId="0" fontId="6" fillId="0" borderId="0" xfId="0" applyFont="1"/>
    <xf numFmtId="0" fontId="4" fillId="0" borderId="0" xfId="0" applyFont="1"/>
    <xf numFmtId="0" fontId="7" fillId="0" borderId="1" xfId="0" applyFont="1" applyBorder="1"/>
    <xf numFmtId="0" fontId="7" fillId="0" borderId="0" xfId="0" applyFont="1"/>
    <xf numFmtId="0" fontId="7" fillId="0" borderId="8" xfId="0" applyFont="1" applyBorder="1"/>
    <xf numFmtId="0" fontId="7" fillId="0" borderId="10" xfId="0" applyFont="1" applyBorder="1"/>
    <xf numFmtId="164" fontId="7" fillId="0" borderId="3" xfId="2" applyNumberFormat="1" applyFont="1" applyBorder="1"/>
    <xf numFmtId="0" fontId="7" fillId="0" borderId="9" xfId="0" applyFont="1" applyBorder="1"/>
    <xf numFmtId="44" fontId="7" fillId="0" borderId="9" xfId="2" applyFont="1" applyBorder="1"/>
    <xf numFmtId="0" fontId="7" fillId="0" borderId="0" xfId="0" quotePrefix="1" applyFont="1"/>
    <xf numFmtId="44" fontId="7" fillId="0" borderId="0" xfId="2" applyFont="1" applyBorder="1"/>
    <xf numFmtId="0" fontId="7" fillId="0" borderId="11" xfId="0" applyFont="1" applyBorder="1"/>
    <xf numFmtId="0" fontId="7" fillId="0" borderId="3" xfId="0" applyFont="1" applyBorder="1"/>
    <xf numFmtId="0" fontId="7" fillId="0" borderId="13" xfId="0" applyFont="1" applyBorder="1"/>
    <xf numFmtId="164" fontId="5" fillId="0" borderId="0" xfId="2" applyNumberFormat="1" applyFont="1" applyBorder="1"/>
    <xf numFmtId="0" fontId="8" fillId="0" borderId="0" xfId="0" applyFont="1"/>
    <xf numFmtId="0" fontId="14" fillId="0" borderId="3" xfId="0" applyFont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12" fillId="0" borderId="8" xfId="0" applyFont="1" applyBorder="1"/>
    <xf numFmtId="0" fontId="13" fillId="0" borderId="8" xfId="0" applyFont="1" applyBorder="1"/>
    <xf numFmtId="0" fontId="6" fillId="0" borderId="8" xfId="0" applyFont="1" applyBorder="1"/>
    <xf numFmtId="0" fontId="6" fillId="0" borderId="11" xfId="0" applyFont="1" applyBorder="1"/>
    <xf numFmtId="44" fontId="7" fillId="0" borderId="3" xfId="0" applyNumberFormat="1" applyFont="1" applyBorder="1"/>
    <xf numFmtId="44" fontId="7" fillId="0" borderId="0" xfId="0" applyNumberFormat="1" applyFont="1"/>
    <xf numFmtId="0" fontId="7" fillId="0" borderId="0" xfId="0" applyFont="1" applyAlignment="1">
      <alignment horizontal="right"/>
    </xf>
    <xf numFmtId="0" fontId="11" fillId="0" borderId="0" xfId="0" applyFont="1"/>
    <xf numFmtId="14" fontId="7" fillId="0" borderId="0" xfId="0" applyNumberFormat="1" applyFont="1"/>
    <xf numFmtId="165" fontId="7" fillId="0" borderId="0" xfId="1" applyNumberFormat="1" applyFont="1" applyBorder="1"/>
    <xf numFmtId="0" fontId="8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44" fontId="9" fillId="0" borderId="0" xfId="2" applyFont="1" applyBorder="1"/>
    <xf numFmtId="44" fontId="7" fillId="0" borderId="9" xfId="2" quotePrefix="1" applyFont="1" applyBorder="1"/>
    <xf numFmtId="44" fontId="12" fillId="0" borderId="12" xfId="2" quotePrefix="1" applyFont="1" applyBorder="1"/>
    <xf numFmtId="0" fontId="9" fillId="0" borderId="11" xfId="0" applyFont="1" applyBorder="1"/>
    <xf numFmtId="0" fontId="9" fillId="0" borderId="3" xfId="0" applyFont="1" applyBorder="1"/>
    <xf numFmtId="0" fontId="10" fillId="0" borderId="3" xfId="0" applyFont="1" applyBorder="1" applyAlignment="1">
      <alignment horizontal="right"/>
    </xf>
    <xf numFmtId="0" fontId="9" fillId="0" borderId="11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7" fillId="0" borderId="8" xfId="0" applyFont="1" applyBorder="1" applyAlignment="1">
      <alignment vertical="center"/>
    </xf>
    <xf numFmtId="44" fontId="7" fillId="0" borderId="0" xfId="2" applyFont="1" applyBorder="1" applyAlignment="1">
      <alignment vertical="center"/>
    </xf>
    <xf numFmtId="0" fontId="6" fillId="0" borderId="0" xfId="0" applyFont="1" applyAlignment="1">
      <alignment vertical="top"/>
    </xf>
    <xf numFmtId="0" fontId="7" fillId="0" borderId="3" xfId="0" applyFont="1" applyBorder="1" applyAlignment="1">
      <alignment horizontal="right"/>
    </xf>
    <xf numFmtId="0" fontId="9" fillId="2" borderId="0" xfId="0" applyFont="1" applyFill="1"/>
    <xf numFmtId="0" fontId="4" fillId="2" borderId="0" xfId="0" applyFont="1" applyFill="1"/>
    <xf numFmtId="0" fontId="7" fillId="2" borderId="0" xfId="0" applyFont="1" applyFill="1"/>
    <xf numFmtId="0" fontId="8" fillId="2" borderId="2" xfId="0" applyFont="1" applyFill="1" applyBorder="1" applyAlignment="1">
      <alignment horizontal="left"/>
    </xf>
    <xf numFmtId="0" fontId="7" fillId="2" borderId="2" xfId="0" applyFont="1" applyFill="1" applyBorder="1"/>
    <xf numFmtId="0" fontId="9" fillId="2" borderId="4" xfId="0" applyFont="1" applyFill="1" applyBorder="1"/>
    <xf numFmtId="0" fontId="3" fillId="2" borderId="0" xfId="0" applyFont="1" applyFill="1"/>
    <xf numFmtId="0" fontId="8" fillId="2" borderId="3" xfId="0" applyFont="1" applyFill="1" applyBorder="1"/>
    <xf numFmtId="0" fontId="7" fillId="2" borderId="3" xfId="0" applyFont="1" applyFill="1" applyBorder="1"/>
    <xf numFmtId="0" fontId="4" fillId="2" borderId="0" xfId="0" applyFont="1" applyFill="1" applyAlignment="1">
      <alignment horizontal="right"/>
    </xf>
    <xf numFmtId="0" fontId="7" fillId="2" borderId="3" xfId="0" applyFont="1" applyFill="1" applyBorder="1" applyAlignment="1">
      <alignment horizontal="center"/>
    </xf>
    <xf numFmtId="0" fontId="4" fillId="2" borderId="1" xfId="0" applyFont="1" applyFill="1" applyBorder="1"/>
    <xf numFmtId="0" fontId="7" fillId="2" borderId="1" xfId="0" applyFont="1" applyFill="1" applyBorder="1"/>
    <xf numFmtId="0" fontId="9" fillId="2" borderId="1" xfId="0" applyFont="1" applyFill="1" applyBorder="1"/>
    <xf numFmtId="0" fontId="3" fillId="2" borderId="1" xfId="0" applyFont="1" applyFill="1" applyBorder="1"/>
    <xf numFmtId="0" fontId="12" fillId="2" borderId="5" xfId="0" applyFont="1" applyFill="1" applyBorder="1"/>
    <xf numFmtId="0" fontId="7" fillId="2" borderId="6" xfId="0" applyFont="1" applyFill="1" applyBorder="1"/>
    <xf numFmtId="0" fontId="7" fillId="2" borderId="7" xfId="0" applyFont="1" applyFill="1" applyBorder="1"/>
    <xf numFmtId="0" fontId="15" fillId="0" borderId="8" xfId="0" applyFont="1" applyBorder="1"/>
    <xf numFmtId="0" fontId="15" fillId="0" borderId="0" xfId="0" applyFont="1"/>
    <xf numFmtId="0" fontId="16" fillId="0" borderId="0" xfId="0" applyFont="1"/>
    <xf numFmtId="0" fontId="15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14" fontId="9" fillId="2" borderId="6" xfId="0" applyNumberFormat="1" applyFont="1" applyFill="1" applyBorder="1" applyAlignment="1">
      <alignment horizontal="center"/>
    </xf>
    <xf numFmtId="44" fontId="7" fillId="0" borderId="0" xfId="2" applyFont="1"/>
    <xf numFmtId="44" fontId="10" fillId="0" borderId="3" xfId="0" applyNumberFormat="1" applyFont="1" applyBorder="1"/>
    <xf numFmtId="0" fontId="2" fillId="2" borderId="0" xfId="0" applyFont="1" applyFill="1"/>
    <xf numFmtId="164" fontId="2" fillId="2" borderId="3" xfId="2" applyNumberFormat="1" applyFont="1" applyFill="1" applyBorder="1"/>
    <xf numFmtId="0" fontId="8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7" fillId="0" borderId="0" xfId="0" applyFont="1" applyAlignment="1">
      <alignment vertical="center"/>
    </xf>
    <xf numFmtId="44" fontId="10" fillId="0" borderId="0" xfId="2" applyFont="1" applyBorder="1" applyAlignment="1">
      <alignment vertical="center"/>
    </xf>
    <xf numFmtId="14" fontId="7" fillId="2" borderId="3" xfId="0" applyNumberFormat="1" applyFont="1" applyFill="1" applyBorder="1" applyAlignment="1">
      <alignment horizontal="center"/>
    </xf>
    <xf numFmtId="0" fontId="8" fillId="0" borderId="0" xfId="0" applyFont="1" applyAlignment="1">
      <alignment vertical="center"/>
    </xf>
    <xf numFmtId="44" fontId="7" fillId="0" borderId="0" xfId="0" applyNumberFormat="1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44" fontId="7" fillId="0" borderId="9" xfId="2" applyFont="1" applyBorder="1" applyAlignment="1">
      <alignment vertical="center"/>
    </xf>
    <xf numFmtId="44" fontId="7" fillId="0" borderId="0" xfId="2" applyFont="1" applyAlignment="1">
      <alignment vertical="center"/>
    </xf>
    <xf numFmtId="0" fontId="6" fillId="0" borderId="13" xfId="0" applyFont="1" applyBorder="1" applyAlignment="1">
      <alignment vertical="top" wrapText="1"/>
    </xf>
    <xf numFmtId="0" fontId="9" fillId="0" borderId="12" xfId="0" applyFont="1" applyBorder="1" applyAlignment="1">
      <alignment wrapText="1"/>
    </xf>
    <xf numFmtId="0" fontId="8" fillId="0" borderId="9" xfId="0" applyFont="1" applyBorder="1"/>
    <xf numFmtId="0" fontId="17" fillId="0" borderId="9" xfId="0" applyFont="1" applyBorder="1" applyAlignment="1">
      <alignment horizontal="right" vertical="center" wrapText="1"/>
    </xf>
    <xf numFmtId="0" fontId="11" fillId="0" borderId="9" xfId="0" applyFont="1" applyBorder="1" applyAlignment="1">
      <alignment horizontal="right" vertical="center" wrapText="1"/>
    </xf>
    <xf numFmtId="0" fontId="8" fillId="0" borderId="9" xfId="0" applyFont="1" applyBorder="1" applyAlignment="1">
      <alignment vertical="center" wrapText="1"/>
    </xf>
    <xf numFmtId="0" fontId="17" fillId="0" borderId="9" xfId="0" applyFont="1" applyBorder="1" applyAlignment="1">
      <alignment horizontal="right"/>
    </xf>
    <xf numFmtId="0" fontId="8" fillId="0" borderId="9" xfId="0" applyFont="1" applyBorder="1" applyAlignment="1">
      <alignment wrapText="1"/>
    </xf>
    <xf numFmtId="44" fontId="8" fillId="0" borderId="16" xfId="2" applyFont="1" applyBorder="1" applyAlignment="1">
      <alignment horizontal="left"/>
    </xf>
    <xf numFmtId="44" fontId="8" fillId="0" borderId="16" xfId="2" applyFont="1" applyFill="1" applyBorder="1" applyAlignment="1">
      <alignment horizontal="left"/>
    </xf>
    <xf numFmtId="44" fontId="17" fillId="0" borderId="16" xfId="2" applyFont="1" applyFill="1" applyBorder="1" applyAlignment="1">
      <alignment horizontal="left" vertical="center"/>
    </xf>
    <xf numFmtId="44" fontId="11" fillId="0" borderId="16" xfId="2" applyFont="1" applyFill="1" applyBorder="1" applyAlignment="1">
      <alignment horizontal="left" vertical="center"/>
    </xf>
    <xf numFmtId="44" fontId="8" fillId="0" borderId="16" xfId="2" applyFont="1" applyBorder="1" applyAlignment="1">
      <alignment horizontal="left" vertical="center"/>
    </xf>
    <xf numFmtId="44" fontId="17" fillId="0" borderId="16" xfId="2" applyFont="1" applyBorder="1" applyAlignment="1">
      <alignment horizontal="left" vertical="center"/>
    </xf>
    <xf numFmtId="44" fontId="17" fillId="0" borderId="16" xfId="2" applyFont="1" applyBorder="1" applyAlignment="1">
      <alignment horizontal="left"/>
    </xf>
    <xf numFmtId="14" fontId="9" fillId="2" borderId="7" xfId="0" applyNumberFormat="1" applyFont="1" applyFill="1" applyBorder="1" applyAlignment="1">
      <alignment horizontal="center"/>
    </xf>
    <xf numFmtId="0" fontId="3" fillId="2" borderId="17" xfId="0" applyFont="1" applyFill="1" applyBorder="1"/>
    <xf numFmtId="44" fontId="7" fillId="0" borderId="0" xfId="2" applyFont="1" applyFill="1" applyBorder="1"/>
    <xf numFmtId="44" fontId="7" fillId="0" borderId="9" xfId="2" applyFont="1" applyFill="1" applyBorder="1"/>
    <xf numFmtId="44" fontId="7" fillId="0" borderId="0" xfId="2" applyFont="1" applyFill="1"/>
    <xf numFmtId="0" fontId="0" fillId="0" borderId="1" xfId="0" applyBorder="1"/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3" xfId="0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 applyAlignment="1">
      <alignment horizontal="center"/>
    </xf>
    <xf numFmtId="0" fontId="19" fillId="0" borderId="1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0" fillId="2" borderId="21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14" xfId="0" applyFont="1" applyBorder="1" applyAlignment="1">
      <alignment horizontal="centerContinuous"/>
    </xf>
    <xf numFmtId="0" fontId="6" fillId="0" borderId="24" xfId="0" applyFont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9" xfId="0" applyFont="1" applyBorder="1"/>
    <xf numFmtId="0" fontId="6" fillId="0" borderId="9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6" fillId="0" borderId="16" xfId="0" applyFont="1" applyBorder="1"/>
    <xf numFmtId="0" fontId="0" fillId="0" borderId="22" xfId="0" applyBorder="1"/>
    <xf numFmtId="0" fontId="0" fillId="0" borderId="14" xfId="0" applyBorder="1"/>
    <xf numFmtId="0" fontId="0" fillId="0" borderId="13" xfId="0" applyBorder="1"/>
    <xf numFmtId="0" fontId="0" fillId="0" borderId="23" xfId="0" applyBorder="1"/>
    <xf numFmtId="0" fontId="0" fillId="0" borderId="24" xfId="0" applyBorder="1"/>
    <xf numFmtId="0" fontId="20" fillId="2" borderId="14" xfId="0" applyFont="1" applyFill="1" applyBorder="1"/>
    <xf numFmtId="0" fontId="21" fillId="2" borderId="16" xfId="0" quotePrefix="1" applyFont="1" applyFill="1" applyBorder="1"/>
    <xf numFmtId="0" fontId="21" fillId="2" borderId="9" xfId="0" applyFont="1" applyFill="1" applyBorder="1"/>
    <xf numFmtId="164" fontId="22" fillId="2" borderId="9" xfId="2" applyNumberFormat="1" applyFont="1" applyFill="1" applyBorder="1"/>
    <xf numFmtId="165" fontId="22" fillId="2" borderId="9" xfId="1" applyNumberFormat="1" applyFont="1" applyFill="1" applyBorder="1"/>
    <xf numFmtId="165" fontId="22" fillId="2" borderId="16" xfId="1" applyNumberFormat="1" applyFont="1" applyFill="1" applyBorder="1"/>
    <xf numFmtId="165" fontId="22" fillId="2" borderId="0" xfId="1" applyNumberFormat="1" applyFont="1" applyFill="1" applyBorder="1"/>
    <xf numFmtId="165" fontId="22" fillId="2" borderId="25" xfId="1" applyNumberFormat="1" applyFont="1" applyFill="1" applyBorder="1"/>
    <xf numFmtId="0" fontId="22" fillId="2" borderId="26" xfId="0" applyFont="1" applyFill="1" applyBorder="1"/>
    <xf numFmtId="164" fontId="21" fillId="2" borderId="9" xfId="2" applyNumberFormat="1" applyFont="1" applyFill="1" applyBorder="1"/>
    <xf numFmtId="0" fontId="22" fillId="0" borderId="16" xfId="0" quotePrefix="1" applyFont="1" applyBorder="1"/>
    <xf numFmtId="0" fontId="22" fillId="0" borderId="9" xfId="0" applyFont="1" applyBorder="1"/>
    <xf numFmtId="165" fontId="22" fillId="0" borderId="9" xfId="1" applyNumberFormat="1" applyFont="1" applyBorder="1"/>
    <xf numFmtId="165" fontId="22" fillId="0" borderId="16" xfId="1" applyNumberFormat="1" applyFont="1" applyBorder="1"/>
    <xf numFmtId="165" fontId="22" fillId="0" borderId="0" xfId="1" applyNumberFormat="1" applyFont="1" applyBorder="1"/>
    <xf numFmtId="165" fontId="22" fillId="0" borderId="25" xfId="1" applyNumberFormat="1" applyFont="1" applyBorder="1"/>
    <xf numFmtId="0" fontId="22" fillId="0" borderId="26" xfId="0" applyFont="1" applyBorder="1"/>
    <xf numFmtId="165" fontId="21" fillId="2" borderId="9" xfId="1" applyNumberFormat="1" applyFont="1" applyFill="1" applyBorder="1"/>
    <xf numFmtId="165" fontId="22" fillId="2" borderId="26" xfId="1" applyNumberFormat="1" applyFont="1" applyFill="1" applyBorder="1"/>
    <xf numFmtId="165" fontId="22" fillId="0" borderId="26" xfId="1" applyNumberFormat="1" applyFont="1" applyBorder="1"/>
    <xf numFmtId="0" fontId="22" fillId="0" borderId="12" xfId="0" applyFont="1" applyBorder="1"/>
    <xf numFmtId="0" fontId="22" fillId="0" borderId="15" xfId="0" applyFont="1" applyBorder="1"/>
    <xf numFmtId="0" fontId="22" fillId="0" borderId="3" xfId="0" applyFont="1" applyBorder="1"/>
    <xf numFmtId="0" fontId="22" fillId="0" borderId="27" xfId="0" applyFont="1" applyBorder="1"/>
    <xf numFmtId="165" fontId="22" fillId="0" borderId="12" xfId="1" applyNumberFormat="1" applyFont="1" applyBorder="1"/>
    <xf numFmtId="0" fontId="22" fillId="0" borderId="28" xfId="0" applyFont="1" applyBorder="1"/>
    <xf numFmtId="0" fontId="21" fillId="2" borderId="12" xfId="0" applyFont="1" applyFill="1" applyBorder="1"/>
    <xf numFmtId="165" fontId="22" fillId="0" borderId="15" xfId="1" applyNumberFormat="1" applyFont="1" applyBorder="1"/>
    <xf numFmtId="0" fontId="22" fillId="0" borderId="16" xfId="0" applyFont="1" applyBorder="1"/>
    <xf numFmtId="0" fontId="22" fillId="0" borderId="0" xfId="0" applyFont="1"/>
    <xf numFmtId="0" fontId="22" fillId="0" borderId="25" xfId="0" applyFont="1" applyBorder="1"/>
    <xf numFmtId="165" fontId="22" fillId="0" borderId="3" xfId="1" applyNumberFormat="1" applyFont="1" applyBorder="1"/>
    <xf numFmtId="165" fontId="22" fillId="0" borderId="27" xfId="1" applyNumberFormat="1" applyFont="1" applyBorder="1"/>
    <xf numFmtId="164" fontId="22" fillId="0" borderId="12" xfId="2" applyNumberFormat="1" applyFont="1" applyBorder="1"/>
    <xf numFmtId="165" fontId="22" fillId="0" borderId="28" xfId="1" applyNumberFormat="1" applyFont="1" applyBorder="1"/>
    <xf numFmtId="165" fontId="21" fillId="2" borderId="12" xfId="1" applyNumberFormat="1" applyFont="1" applyFill="1" applyBorder="1"/>
    <xf numFmtId="165" fontId="0" fillId="0" borderId="0" xfId="0" applyNumberFormat="1"/>
    <xf numFmtId="0" fontId="23" fillId="0" borderId="0" xfId="0" applyFont="1"/>
    <xf numFmtId="0" fontId="24" fillId="0" borderId="3" xfId="0" applyFont="1" applyBorder="1" applyAlignment="1">
      <alignment horizontal="center" vertical="top" readingOrder="1"/>
    </xf>
    <xf numFmtId="0" fontId="24" fillId="0" borderId="12" xfId="0" applyFont="1" applyBorder="1" applyAlignment="1">
      <alignment horizontal="center" vertical="top" readingOrder="1"/>
    </xf>
    <xf numFmtId="0" fontId="24" fillId="0" borderId="15" xfId="0" applyFont="1" applyBorder="1" applyAlignment="1">
      <alignment horizontal="center" vertical="top" readingOrder="1"/>
    </xf>
    <xf numFmtId="43" fontId="24" fillId="0" borderId="15" xfId="1" applyFont="1" applyBorder="1" applyAlignment="1">
      <alignment horizontal="center" vertical="top" readingOrder="1"/>
    </xf>
    <xf numFmtId="0" fontId="0" fillId="0" borderId="3" xfId="0" applyBorder="1"/>
    <xf numFmtId="43" fontId="18" fillId="0" borderId="12" xfId="1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25" fillId="0" borderId="0" xfId="0" applyFont="1" applyAlignment="1">
      <alignment horizontal="left" vertical="top" readingOrder="1"/>
    </xf>
    <xf numFmtId="0" fontId="25" fillId="0" borderId="9" xfId="0" applyFont="1" applyBorder="1" applyAlignment="1">
      <alignment horizontal="left" vertical="top" readingOrder="1"/>
    </xf>
    <xf numFmtId="0" fontId="0" fillId="0" borderId="16" xfId="0" applyBorder="1"/>
    <xf numFmtId="0" fontId="0" fillId="0" borderId="9" xfId="0" applyBorder="1"/>
    <xf numFmtId="44" fontId="0" fillId="0" borderId="16" xfId="2" applyFont="1" applyBorder="1"/>
    <xf numFmtId="44" fontId="0" fillId="0" borderId="9" xfId="2" applyFont="1" applyBorder="1"/>
    <xf numFmtId="44" fontId="0" fillId="0" borderId="0" xfId="0" applyNumberFormat="1"/>
    <xf numFmtId="0" fontId="25" fillId="0" borderId="3" xfId="0" applyFont="1" applyBorder="1" applyAlignment="1">
      <alignment horizontal="left" vertical="top" readingOrder="1"/>
    </xf>
    <xf numFmtId="0" fontId="25" fillId="0" borderId="12" xfId="0" applyFont="1" applyBorder="1" applyAlignment="1">
      <alignment horizontal="left" vertical="top" readingOrder="1"/>
    </xf>
    <xf numFmtId="0" fontId="0" fillId="0" borderId="15" xfId="0" applyBorder="1"/>
    <xf numFmtId="44" fontId="0" fillId="0" borderId="15" xfId="2" applyFont="1" applyBorder="1"/>
    <xf numFmtId="44" fontId="0" fillId="0" borderId="12" xfId="2" applyFont="1" applyBorder="1"/>
    <xf numFmtId="44" fontId="0" fillId="0" borderId="3" xfId="0" applyNumberFormat="1" applyBorder="1"/>
    <xf numFmtId="0" fontId="0" fillId="0" borderId="0" xfId="0" applyAlignment="1">
      <alignment horizontal="left"/>
    </xf>
    <xf numFmtId="0" fontId="7" fillId="2" borderId="11" xfId="0" applyFont="1" applyFill="1" applyBorder="1"/>
    <xf numFmtId="44" fontId="7" fillId="2" borderId="3" xfId="2" applyFont="1" applyFill="1" applyBorder="1"/>
    <xf numFmtId="44" fontId="7" fillId="2" borderId="12" xfId="2" quotePrefix="1" applyFont="1" applyFill="1" applyBorder="1"/>
    <xf numFmtId="0" fontId="25" fillId="0" borderId="6" xfId="0" applyFont="1" applyBorder="1" applyAlignment="1">
      <alignment horizontal="left" vertical="top" readingOrder="1"/>
    </xf>
    <xf numFmtId="0" fontId="25" fillId="0" borderId="7" xfId="0" applyFont="1" applyBorder="1" applyAlignment="1">
      <alignment horizontal="left" vertical="top" readingOrder="1"/>
    </xf>
    <xf numFmtId="0" fontId="0" fillId="0" borderId="18" xfId="0" applyBorder="1"/>
    <xf numFmtId="44" fontId="0" fillId="0" borderId="18" xfId="2" applyFont="1" applyBorder="1"/>
    <xf numFmtId="0" fontId="0" fillId="0" borderId="6" xfId="0" applyBorder="1"/>
    <xf numFmtId="44" fontId="0" fillId="0" borderId="7" xfId="2" applyFont="1" applyBorder="1"/>
    <xf numFmtId="44" fontId="0" fillId="0" borderId="6" xfId="0" applyNumberFormat="1" applyBorder="1"/>
    <xf numFmtId="0" fontId="18" fillId="0" borderId="18" xfId="0" applyFont="1" applyBorder="1"/>
    <xf numFmtId="44" fontId="27" fillId="0" borderId="6" xfId="2" applyFont="1" applyBorder="1"/>
    <xf numFmtId="44" fontId="18" fillId="0" borderId="7" xfId="2" applyFont="1" applyBorder="1"/>
    <xf numFmtId="44" fontId="27" fillId="0" borderId="18" xfId="2" applyFont="1" applyFill="1" applyBorder="1"/>
    <xf numFmtId="0" fontId="24" fillId="0" borderId="6" xfId="0" applyFont="1" applyBorder="1" applyAlignment="1">
      <alignment horizontal="left" vertical="top" readingOrder="1"/>
    </xf>
    <xf numFmtId="0" fontId="24" fillId="0" borderId="7" xfId="0" applyFont="1" applyBorder="1" applyAlignment="1">
      <alignment horizontal="left" vertical="top" readingOrder="1"/>
    </xf>
    <xf numFmtId="44" fontId="18" fillId="0" borderId="18" xfId="2" applyFont="1" applyBorder="1"/>
    <xf numFmtId="0" fontId="18" fillId="0" borderId="6" xfId="0" applyFont="1" applyBorder="1"/>
    <xf numFmtId="44" fontId="18" fillId="0" borderId="6" xfId="0" applyNumberFormat="1" applyFont="1" applyBorder="1"/>
    <xf numFmtId="0" fontId="24" fillId="0" borderId="7" xfId="0" applyFont="1" applyBorder="1" applyAlignment="1">
      <alignment vertical="top" readingOrder="1"/>
    </xf>
    <xf numFmtId="44" fontId="19" fillId="0" borderId="18" xfId="2" applyFont="1" applyBorder="1"/>
    <xf numFmtId="0" fontId="25" fillId="0" borderId="9" xfId="0" applyFont="1" applyBorder="1" applyAlignment="1">
      <alignment vertical="top" readingOrder="1"/>
    </xf>
    <xf numFmtId="0" fontId="0" fillId="0" borderId="16" xfId="0" applyBorder="1" applyAlignment="1">
      <alignment horizontal="right"/>
    </xf>
    <xf numFmtId="0" fontId="18" fillId="0" borderId="7" xfId="0" applyFont="1" applyBorder="1"/>
    <xf numFmtId="44" fontId="19" fillId="0" borderId="7" xfId="2" applyFont="1" applyBorder="1"/>
    <xf numFmtId="44" fontId="0" fillId="0" borderId="16" xfId="2" applyFont="1" applyFill="1" applyBorder="1"/>
    <xf numFmtId="0" fontId="24" fillId="0" borderId="6" xfId="0" applyFont="1" applyBorder="1" applyAlignment="1">
      <alignment horizontal="left" vertical="top" indent="1" readingOrder="1"/>
    </xf>
    <xf numFmtId="0" fontId="24" fillId="0" borderId="9" xfId="0" applyFont="1" applyBorder="1" applyAlignment="1">
      <alignment horizontal="left" vertical="top" readingOrder="1"/>
    </xf>
    <xf numFmtId="0" fontId="24" fillId="0" borderId="0" xfId="0" applyFont="1" applyAlignment="1">
      <alignment horizontal="left" vertical="top" readingOrder="1"/>
    </xf>
    <xf numFmtId="0" fontId="18" fillId="0" borderId="9" xfId="0" applyFont="1" applyBorder="1"/>
    <xf numFmtId="44" fontId="18" fillId="0" borderId="0" xfId="0" applyNumberFormat="1" applyFont="1"/>
    <xf numFmtId="0" fontId="15" fillId="0" borderId="9" xfId="0" applyFont="1" applyBorder="1" applyAlignment="1">
      <alignment horizontal="center"/>
    </xf>
    <xf numFmtId="0" fontId="31" fillId="0" borderId="9" xfId="0" applyFont="1" applyBorder="1"/>
    <xf numFmtId="0" fontId="32" fillId="2" borderId="1" xfId="0" applyFont="1" applyFill="1" applyBorder="1"/>
    <xf numFmtId="44" fontId="29" fillId="0" borderId="0" xfId="2" applyFont="1"/>
    <xf numFmtId="165" fontId="30" fillId="0" borderId="9" xfId="1" applyNumberFormat="1" applyFont="1" applyBorder="1"/>
    <xf numFmtId="44" fontId="19" fillId="0" borderId="7" xfId="2" applyFont="1" applyFill="1" applyBorder="1"/>
    <xf numFmtId="44" fontId="18" fillId="0" borderId="7" xfId="2" applyFont="1" applyFill="1" applyBorder="1"/>
    <xf numFmtId="44" fontId="19" fillId="0" borderId="18" xfId="2" applyFont="1" applyFill="1" applyBorder="1"/>
    <xf numFmtId="44" fontId="18" fillId="0" borderId="18" xfId="2" applyFont="1" applyFill="1" applyBorder="1"/>
    <xf numFmtId="0" fontId="28" fillId="0" borderId="0" xfId="0" applyFont="1"/>
    <xf numFmtId="0" fontId="8" fillId="0" borderId="1" xfId="0" applyFont="1" applyBorder="1"/>
    <xf numFmtId="0" fontId="11" fillId="0" borderId="1" xfId="0" applyFont="1" applyBorder="1"/>
    <xf numFmtId="0" fontId="8" fillId="0" borderId="17" xfId="0" applyFont="1" applyBorder="1"/>
    <xf numFmtId="0" fontId="8" fillId="2" borderId="0" xfId="0" applyFont="1" applyFill="1"/>
    <xf numFmtId="0" fontId="8" fillId="2" borderId="2" xfId="0" applyFont="1" applyFill="1" applyBorder="1"/>
    <xf numFmtId="0" fontId="8" fillId="2" borderId="4" xfId="0" applyFont="1" applyFill="1" applyBorder="1"/>
    <xf numFmtId="0" fontId="8" fillId="2" borderId="12" xfId="0" applyFont="1" applyFill="1" applyBorder="1" applyAlignment="1">
      <alignment horizontal="center"/>
    </xf>
    <xf numFmtId="14" fontId="8" fillId="2" borderId="12" xfId="0" applyNumberFormat="1" applyFont="1" applyFill="1" applyBorder="1" applyAlignment="1">
      <alignment horizontal="center"/>
    </xf>
    <xf numFmtId="0" fontId="8" fillId="2" borderId="1" xfId="0" applyFont="1" applyFill="1" applyBorder="1"/>
    <xf numFmtId="0" fontId="8" fillId="0" borderId="12" xfId="0" applyFont="1" applyBorder="1"/>
    <xf numFmtId="0" fontId="8" fillId="0" borderId="8" xfId="0" applyFont="1" applyBorder="1"/>
    <xf numFmtId="0" fontId="8" fillId="0" borderId="13" xfId="0" applyFont="1" applyBorder="1"/>
    <xf numFmtId="0" fontId="4" fillId="0" borderId="15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8" fillId="0" borderId="16" xfId="0" applyFont="1" applyBorder="1"/>
    <xf numFmtId="44" fontId="8" fillId="0" borderId="16" xfId="2" applyFont="1" applyBorder="1"/>
    <xf numFmtId="0" fontId="11" fillId="0" borderId="31" xfId="0" applyFont="1" applyBorder="1"/>
    <xf numFmtId="44" fontId="8" fillId="0" borderId="0" xfId="2" applyFont="1"/>
    <xf numFmtId="44" fontId="11" fillId="0" borderId="31" xfId="2" applyFont="1" applyBorder="1"/>
    <xf numFmtId="44" fontId="8" fillId="0" borderId="9" xfId="2" applyFont="1" applyFill="1" applyBorder="1"/>
    <xf numFmtId="44" fontId="8" fillId="0" borderId="9" xfId="2" applyFont="1" applyBorder="1"/>
    <xf numFmtId="44" fontId="8" fillId="0" borderId="16" xfId="2" applyFont="1" applyFill="1" applyBorder="1"/>
    <xf numFmtId="44" fontId="11" fillId="0" borderId="31" xfId="2" applyFont="1" applyFill="1" applyBorder="1"/>
    <xf numFmtId="44" fontId="8" fillId="0" borderId="16" xfId="2" applyFont="1" applyFill="1" applyBorder="1" applyAlignment="1">
      <alignment vertical="center"/>
    </xf>
    <xf numFmtId="44" fontId="11" fillId="0" borderId="31" xfId="2" applyFont="1" applyFill="1" applyBorder="1" applyAlignment="1">
      <alignment vertical="center"/>
    </xf>
    <xf numFmtId="44" fontId="8" fillId="0" borderId="9" xfId="2" applyFont="1" applyFill="1" applyBorder="1" applyAlignment="1">
      <alignment vertical="center"/>
    </xf>
    <xf numFmtId="0" fontId="8" fillId="0" borderId="8" xfId="0" applyFont="1" applyBorder="1" applyAlignment="1">
      <alignment vertical="center"/>
    </xf>
    <xf numFmtId="44" fontId="8" fillId="0" borderId="9" xfId="2" applyFont="1" applyBorder="1" applyAlignment="1">
      <alignment vertical="center"/>
    </xf>
    <xf numFmtId="44" fontId="17" fillId="0" borderId="16" xfId="2" applyFont="1" applyFill="1" applyBorder="1"/>
    <xf numFmtId="44" fontId="17" fillId="0" borderId="16" xfId="2" applyFont="1" applyBorder="1"/>
    <xf numFmtId="44" fontId="11" fillId="0" borderId="16" xfId="2" applyFont="1" applyBorder="1"/>
    <xf numFmtId="44" fontId="8" fillId="0" borderId="9" xfId="2" applyFont="1" applyFill="1" applyBorder="1" applyAlignment="1">
      <alignment horizontal="right" vertical="center"/>
    </xf>
    <xf numFmtId="44" fontId="11" fillId="0" borderId="9" xfId="2" applyFont="1" applyBorder="1" applyAlignment="1">
      <alignment horizontal="right" vertical="center"/>
    </xf>
    <xf numFmtId="0" fontId="11" fillId="0" borderId="32" xfId="0" applyFont="1" applyBorder="1"/>
    <xf numFmtId="0" fontId="8" fillId="0" borderId="11" xfId="0" applyFont="1" applyBorder="1"/>
    <xf numFmtId="0" fontId="8" fillId="0" borderId="3" xfId="0" applyFont="1" applyBorder="1"/>
    <xf numFmtId="0" fontId="8" fillId="0" borderId="15" xfId="0" applyFont="1" applyBorder="1"/>
    <xf numFmtId="0" fontId="11" fillId="0" borderId="30" xfId="0" applyFont="1" applyBorder="1"/>
    <xf numFmtId="44" fontId="8" fillId="0" borderId="0" xfId="0" applyNumberFormat="1" applyFont="1"/>
    <xf numFmtId="44" fontId="9" fillId="0" borderId="3" xfId="0" applyNumberFormat="1" applyFont="1" applyBorder="1" applyAlignment="1">
      <alignment horizontal="right"/>
    </xf>
    <xf numFmtId="44" fontId="9" fillId="0" borderId="29" xfId="2" applyFont="1" applyBorder="1"/>
    <xf numFmtId="0" fontId="8" fillId="0" borderId="33" xfId="0" applyFont="1" applyBorder="1"/>
    <xf numFmtId="0" fontId="8" fillId="0" borderId="0" xfId="0" applyFont="1" applyAlignment="1">
      <alignment horizontal="center"/>
    </xf>
    <xf numFmtId="0" fontId="8" fillId="0" borderId="0" xfId="0" quotePrefix="1" applyFont="1"/>
    <xf numFmtId="14" fontId="8" fillId="0" borderId="0" xfId="0" applyNumberFormat="1" applyFont="1"/>
    <xf numFmtId="165" fontId="8" fillId="0" borderId="0" xfId="1" applyNumberFormat="1" applyFont="1" applyBorder="1"/>
    <xf numFmtId="44" fontId="8" fillId="0" borderId="0" xfId="2" applyFont="1" applyBorder="1"/>
    <xf numFmtId="0" fontId="8" fillId="0" borderId="0" xfId="0" applyFont="1" applyAlignment="1">
      <alignment horizontal="left"/>
    </xf>
    <xf numFmtId="0" fontId="8" fillId="2" borderId="9" xfId="0" applyFont="1" applyFill="1" applyBorder="1" applyAlignment="1">
      <alignment horizontal="center"/>
    </xf>
    <xf numFmtId="14" fontId="8" fillId="2" borderId="0" xfId="0" applyNumberFormat="1" applyFont="1" applyFill="1" applyAlignment="1">
      <alignment horizontal="center"/>
    </xf>
    <xf numFmtId="14" fontId="9" fillId="2" borderId="0" xfId="0" applyNumberFormat="1" applyFont="1" applyFill="1" applyAlignment="1">
      <alignment horizontal="center"/>
    </xf>
    <xf numFmtId="44" fontId="8" fillId="0" borderId="32" xfId="2" applyFont="1" applyBorder="1"/>
    <xf numFmtId="44" fontId="7" fillId="0" borderId="0" xfId="2" applyFont="1" applyFill="1" applyBorder="1" applyAlignment="1">
      <alignment vertical="center"/>
    </xf>
    <xf numFmtId="164" fontId="7" fillId="0" borderId="6" xfId="0" applyNumberFormat="1" applyFont="1" applyBorder="1"/>
    <xf numFmtId="0" fontId="7" fillId="0" borderId="3" xfId="0" applyFont="1" applyBorder="1"/>
    <xf numFmtId="0" fontId="7" fillId="0" borderId="12" xfId="0" applyFont="1" applyBorder="1"/>
    <xf numFmtId="44" fontId="7" fillId="2" borderId="6" xfId="2" applyFont="1" applyFill="1" applyBorder="1" applyAlignment="1">
      <alignment horizontal="center"/>
    </xf>
    <xf numFmtId="44" fontId="7" fillId="2" borderId="7" xfId="2" applyFont="1" applyFill="1" applyBorder="1" applyAlignment="1">
      <alignment horizontal="center"/>
    </xf>
    <xf numFmtId="0" fontId="7" fillId="0" borderId="13" xfId="0" quotePrefix="1" applyFont="1" applyBorder="1" applyAlignment="1">
      <alignment horizontal="center"/>
    </xf>
    <xf numFmtId="0" fontId="7" fillId="0" borderId="14" xfId="0" quotePrefix="1" applyFont="1" applyBorder="1" applyAlignment="1">
      <alignment horizont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wrapText="1"/>
    </xf>
    <xf numFmtId="0" fontId="8" fillId="0" borderId="0" xfId="0" applyFont="1"/>
    <xf numFmtId="44" fontId="7" fillId="0" borderId="9" xfId="2" applyFont="1" applyBorder="1"/>
    <xf numFmtId="44" fontId="12" fillId="0" borderId="9" xfId="2" applyFont="1" applyBorder="1"/>
    <xf numFmtId="44" fontId="7" fillId="0" borderId="9" xfId="2" applyFont="1" applyBorder="1" applyAlignment="1">
      <alignment vertical="center"/>
    </xf>
    <xf numFmtId="44" fontId="7" fillId="0" borderId="9" xfId="2" applyFont="1" applyFill="1" applyBorder="1" applyAlignment="1">
      <alignment vertical="center"/>
    </xf>
    <xf numFmtId="0" fontId="6" fillId="0" borderId="0" xfId="0" applyFont="1" applyAlignment="1">
      <alignment horizontal="left" vertical="top" wrapText="1" indent="1"/>
    </xf>
    <xf numFmtId="0" fontId="9" fillId="2" borderId="6" xfId="0" applyFont="1" applyFill="1" applyBorder="1" applyAlignment="1">
      <alignment horizontal="left"/>
    </xf>
    <xf numFmtId="0" fontId="8" fillId="0" borderId="0" xfId="0" applyFont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/>
    </xf>
    <xf numFmtId="44" fontId="8" fillId="0" borderId="8" xfId="0" applyNumberFormat="1" applyFont="1" applyBorder="1"/>
    <xf numFmtId="44" fontId="8" fillId="0" borderId="9" xfId="0" applyNumberFormat="1" applyFont="1" applyBorder="1"/>
    <xf numFmtId="0" fontId="8" fillId="0" borderId="8" xfId="0" applyFont="1" applyBorder="1"/>
    <xf numFmtId="0" fontId="8" fillId="0" borderId="9" xfId="0" applyFont="1" applyBorder="1"/>
    <xf numFmtId="44" fontId="8" fillId="0" borderId="8" xfId="0" applyNumberFormat="1" applyFont="1" applyBorder="1" applyAlignment="1">
      <alignment horizontal="center"/>
    </xf>
    <xf numFmtId="44" fontId="8" fillId="0" borderId="9" xfId="0" applyNumberFormat="1" applyFont="1" applyBorder="1" applyAlignment="1">
      <alignment horizontal="center"/>
    </xf>
    <xf numFmtId="44" fontId="8" fillId="0" borderId="13" xfId="2" applyFont="1" applyBorder="1"/>
    <xf numFmtId="44" fontId="8" fillId="0" borderId="14" xfId="2" applyFont="1" applyBorder="1"/>
    <xf numFmtId="44" fontId="8" fillId="0" borderId="0" xfId="0" applyNumberFormat="1" applyFont="1"/>
    <xf numFmtId="44" fontId="9" fillId="0" borderId="3" xfId="0" applyNumberFormat="1" applyFont="1" applyBorder="1"/>
    <xf numFmtId="44" fontId="9" fillId="0" borderId="12" xfId="0" applyNumberFormat="1" applyFont="1" applyBorder="1"/>
    <xf numFmtId="0" fontId="8" fillId="0" borderId="11" xfId="0" applyFont="1" applyBorder="1"/>
    <xf numFmtId="0" fontId="8" fillId="0" borderId="12" xfId="0" applyFont="1" applyBorder="1"/>
    <xf numFmtId="44" fontId="8" fillId="2" borderId="6" xfId="2" applyFont="1" applyFill="1" applyBorder="1" applyAlignment="1">
      <alignment horizontal="center"/>
    </xf>
    <xf numFmtId="44" fontId="8" fillId="2" borderId="7" xfId="2" applyFont="1" applyFill="1" applyBorder="1" applyAlignment="1">
      <alignment horizontal="center"/>
    </xf>
    <xf numFmtId="0" fontId="8" fillId="0" borderId="13" xfId="0" quotePrefix="1" applyFont="1" applyBorder="1" applyAlignment="1">
      <alignment horizontal="center"/>
    </xf>
    <xf numFmtId="0" fontId="8" fillId="0" borderId="14" xfId="0" quotePrefix="1" applyFont="1" applyBorder="1" applyAlignment="1">
      <alignment horizontal="center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44" fontId="8" fillId="0" borderId="8" xfId="0" applyNumberFormat="1" applyFont="1" applyBorder="1" applyAlignment="1">
      <alignment vertical="center"/>
    </xf>
    <xf numFmtId="44" fontId="8" fillId="0" borderId="9" xfId="0" applyNumberFormat="1" applyFont="1" applyBorder="1" applyAlignment="1">
      <alignment vertical="center"/>
    </xf>
    <xf numFmtId="0" fontId="19" fillId="0" borderId="19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19" fillId="0" borderId="20" xfId="0" applyFont="1" applyBorder="1" applyAlignment="1">
      <alignment horizontal="center"/>
    </xf>
    <xf numFmtId="44" fontId="18" fillId="0" borderId="10" xfId="0" applyNumberFormat="1" applyFont="1" applyBorder="1" applyAlignment="1">
      <alignment horizontal="center" vertical="center"/>
    </xf>
    <xf numFmtId="44" fontId="18" fillId="0" borderId="8" xfId="0" applyNumberFormat="1" applyFont="1" applyBorder="1" applyAlignment="1">
      <alignment horizontal="center" vertical="center"/>
    </xf>
    <xf numFmtId="44" fontId="18" fillId="0" borderId="11" xfId="0" applyNumberFormat="1" applyFont="1" applyBorder="1" applyAlignment="1">
      <alignment horizontal="center" vertical="center"/>
    </xf>
    <xf numFmtId="165" fontId="22" fillId="0" borderId="9" xfId="1" applyNumberFormat="1" applyFont="1" applyFill="1" applyBorder="1"/>
    <xf numFmtId="165" fontId="30" fillId="0" borderId="13" xfId="1" applyNumberFormat="1" applyFont="1" applyBorder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colors>
    <mruColors>
      <color rgb="FFD3BC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466725</xdr:colOff>
      <xdr:row>1</xdr:row>
      <xdr:rowOff>218931</xdr:rowOff>
    </xdr:from>
    <xdr:to>
      <xdr:col>12</xdr:col>
      <xdr:colOff>646670</xdr:colOff>
      <xdr:row>4</xdr:row>
      <xdr:rowOff>171449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49EE827-8A2F-443C-8C97-DAC6FCC32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44400" y="561831"/>
          <a:ext cx="1303895" cy="6287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1</xdr:row>
      <xdr:rowOff>218931</xdr:rowOff>
    </xdr:from>
    <xdr:to>
      <xdr:col>13</xdr:col>
      <xdr:colOff>0</xdr:colOff>
      <xdr:row>5</xdr:row>
      <xdr:rowOff>57149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CB4DF2-59A2-4B80-BC2A-D6AD92500D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30150" y="561831"/>
          <a:ext cx="1303895" cy="6287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9"/>
  <sheetViews>
    <sheetView view="pageLayout" zoomScaleNormal="100" workbookViewId="0">
      <selection activeCell="F24" sqref="F24"/>
    </sheetView>
  </sheetViews>
  <sheetFormatPr defaultColWidth="0" defaultRowHeight="14.25" x14ac:dyDescent="0.2"/>
  <cols>
    <col min="1" max="1" width="8.28515625" style="6" customWidth="1"/>
    <col min="2" max="4" width="6.42578125" style="6" customWidth="1"/>
    <col min="5" max="5" width="44.5703125" style="6" customWidth="1"/>
    <col min="6" max="8" width="20.5703125" style="6" customWidth="1"/>
    <col min="9" max="9" width="4.42578125" style="6" customWidth="1"/>
    <col min="10" max="10" width="15.7109375" style="6" customWidth="1"/>
    <col min="11" max="11" width="16" style="6" customWidth="1"/>
    <col min="12" max="12" width="15.7109375" style="6" customWidth="1"/>
    <col min="13" max="13" width="14.85546875" style="6" bestFit="1" customWidth="1"/>
    <col min="14" max="16384" width="0" style="6" hidden="1"/>
  </cols>
  <sheetData>
    <row r="1" spans="1:16" ht="27" customHeight="1" thickBot="1" x14ac:dyDescent="0.3">
      <c r="A1" s="1" t="s">
        <v>5</v>
      </c>
      <c r="B1" s="5"/>
      <c r="C1" s="5"/>
      <c r="D1" s="5"/>
      <c r="E1" s="5"/>
      <c r="G1" s="5"/>
      <c r="H1" s="5"/>
      <c r="I1" s="5"/>
      <c r="J1" s="5"/>
      <c r="K1" s="5"/>
      <c r="L1" s="5"/>
      <c r="M1" s="5"/>
    </row>
    <row r="2" spans="1:16" ht="18" customHeight="1" x14ac:dyDescent="0.25">
      <c r="A2" s="47" t="s">
        <v>0</v>
      </c>
      <c r="B2" s="48"/>
      <c r="C2" s="48"/>
      <c r="D2" s="49" t="s">
        <v>77</v>
      </c>
      <c r="E2" s="50"/>
      <c r="F2" s="50"/>
      <c r="G2" s="51"/>
      <c r="H2" s="51"/>
      <c r="I2" s="52"/>
      <c r="J2" s="55" t="s">
        <v>29</v>
      </c>
      <c r="K2" s="56" t="s">
        <v>303</v>
      </c>
      <c r="L2" s="52"/>
      <c r="M2" s="52"/>
    </row>
    <row r="3" spans="1:16" ht="18" customHeight="1" x14ac:dyDescent="0.25">
      <c r="A3" s="47" t="s">
        <v>1</v>
      </c>
      <c r="B3" s="48"/>
      <c r="C3" s="48"/>
      <c r="D3" s="53" t="s">
        <v>33</v>
      </c>
      <c r="E3" s="54"/>
      <c r="F3" s="54"/>
      <c r="G3" s="46"/>
      <c r="H3" s="46"/>
      <c r="I3" s="52"/>
      <c r="J3" s="55" t="s">
        <v>13</v>
      </c>
      <c r="K3" s="79">
        <v>46213</v>
      </c>
      <c r="L3" s="52"/>
      <c r="M3" s="52"/>
    </row>
    <row r="4" spans="1:16" ht="17.25" customHeight="1" x14ac:dyDescent="0.25">
      <c r="A4" s="47" t="s">
        <v>2</v>
      </c>
      <c r="B4" s="48"/>
      <c r="C4" s="48"/>
      <c r="D4" s="54" t="s">
        <v>3</v>
      </c>
      <c r="E4" s="54"/>
      <c r="F4" s="54"/>
      <c r="G4" s="46"/>
      <c r="H4" s="46"/>
      <c r="I4" s="52"/>
      <c r="J4" s="55" t="s">
        <v>76</v>
      </c>
      <c r="K4" s="70">
        <v>46220</v>
      </c>
      <c r="L4" s="52"/>
      <c r="M4" s="52"/>
    </row>
    <row r="5" spans="1:16" ht="18" customHeight="1" thickBot="1" x14ac:dyDescent="0.3">
      <c r="A5" s="57" t="s">
        <v>4</v>
      </c>
      <c r="B5" s="58"/>
      <c r="C5" s="58"/>
      <c r="D5" s="58" t="str">
        <f>+D2</f>
        <v>Sydney Schachne</v>
      </c>
      <c r="E5" s="58"/>
      <c r="F5" s="58"/>
      <c r="G5" s="59"/>
      <c r="H5" s="59"/>
      <c r="I5" s="60"/>
      <c r="J5" s="60"/>
      <c r="K5" s="60"/>
      <c r="L5" s="60"/>
      <c r="M5" s="60"/>
    </row>
    <row r="6" spans="1:16" ht="6" customHeight="1" x14ac:dyDescent="0.2">
      <c r="H6" s="3"/>
    </row>
    <row r="7" spans="1:16" ht="15" customHeight="1" x14ac:dyDescent="0.25">
      <c r="A7" s="61" t="s">
        <v>22</v>
      </c>
      <c r="B7" s="62"/>
      <c r="C7" s="62"/>
      <c r="D7" s="62"/>
      <c r="E7" s="62"/>
      <c r="F7" s="62"/>
      <c r="G7" s="62"/>
      <c r="H7" s="63"/>
      <c r="K7" s="44"/>
      <c r="L7" s="44"/>
      <c r="M7" s="44"/>
      <c r="N7" s="44"/>
      <c r="O7" s="44"/>
      <c r="P7" s="44"/>
    </row>
    <row r="8" spans="1:16" ht="6" customHeight="1" x14ac:dyDescent="0.25">
      <c r="A8" s="21"/>
      <c r="H8" s="10"/>
      <c r="J8" s="44"/>
      <c r="K8" s="44"/>
      <c r="L8" s="44"/>
      <c r="M8" s="44"/>
      <c r="N8" s="44"/>
      <c r="O8" s="44"/>
      <c r="P8" s="44"/>
    </row>
    <row r="9" spans="1:16" ht="22.5" customHeight="1" x14ac:dyDescent="0.2">
      <c r="A9" s="22" t="s">
        <v>25</v>
      </c>
      <c r="F9" s="19" t="s">
        <v>24</v>
      </c>
      <c r="G9" s="68" t="s">
        <v>23</v>
      </c>
      <c r="H9" s="69" t="s">
        <v>26</v>
      </c>
      <c r="J9" s="44" t="s">
        <v>27</v>
      </c>
    </row>
    <row r="10" spans="1:16" x14ac:dyDescent="0.2">
      <c r="A10" s="8">
        <v>1</v>
      </c>
      <c r="B10" s="16" t="s">
        <v>16</v>
      </c>
      <c r="C10" s="16"/>
      <c r="D10" s="16"/>
      <c r="E10" s="16"/>
      <c r="F10" s="13">
        <v>150000</v>
      </c>
      <c r="G10" s="13">
        <v>150000</v>
      </c>
      <c r="H10" s="11"/>
      <c r="J10" s="6" t="s">
        <v>7</v>
      </c>
      <c r="M10" s="9">
        <f>F21</f>
        <v>1917756</v>
      </c>
    </row>
    <row r="11" spans="1:16" x14ac:dyDescent="0.2">
      <c r="A11" s="7">
        <v>2</v>
      </c>
      <c r="B11" s="6" t="s">
        <v>17</v>
      </c>
      <c r="F11" s="13">
        <v>200000</v>
      </c>
      <c r="G11" s="13">
        <v>200000</v>
      </c>
      <c r="H11" s="11"/>
      <c r="J11" s="6" t="s">
        <v>8</v>
      </c>
      <c r="M11" s="9">
        <f>H47</f>
        <v>35882</v>
      </c>
    </row>
    <row r="12" spans="1:16" x14ac:dyDescent="0.2">
      <c r="A12" s="7">
        <v>3</v>
      </c>
      <c r="B12" s="6" t="s">
        <v>34</v>
      </c>
      <c r="F12" s="13">
        <v>250000</v>
      </c>
      <c r="G12" s="13">
        <v>250000</v>
      </c>
      <c r="H12" s="11"/>
      <c r="J12" s="6" t="s">
        <v>80</v>
      </c>
      <c r="M12" s="291">
        <v>39536.28</v>
      </c>
    </row>
    <row r="13" spans="1:16" ht="23.25" customHeight="1" x14ac:dyDescent="0.2">
      <c r="A13" s="42">
        <v>4</v>
      </c>
      <c r="B13" s="77" t="s">
        <v>35</v>
      </c>
      <c r="C13" s="77"/>
      <c r="D13" s="77"/>
      <c r="E13" s="77"/>
      <c r="F13" s="43">
        <v>250000</v>
      </c>
      <c r="G13" s="43">
        <v>250000</v>
      </c>
      <c r="H13" s="84"/>
      <c r="J13" s="305" t="s">
        <v>81</v>
      </c>
      <c r="K13" s="305"/>
      <c r="L13" s="305"/>
      <c r="M13" s="86"/>
    </row>
    <row r="14" spans="1:16" x14ac:dyDescent="0.2">
      <c r="A14" s="7">
        <v>5</v>
      </c>
      <c r="B14" s="6" t="s">
        <v>36</v>
      </c>
      <c r="F14" s="103">
        <v>300000</v>
      </c>
      <c r="G14" s="103">
        <v>300000</v>
      </c>
      <c r="H14" s="104"/>
      <c r="J14" s="6" t="s">
        <v>9</v>
      </c>
      <c r="M14" s="9">
        <f>+M11+M10+M12</f>
        <v>1993174.28</v>
      </c>
    </row>
    <row r="15" spans="1:16" x14ac:dyDescent="0.2">
      <c r="A15" s="7">
        <v>6</v>
      </c>
      <c r="B15" s="6" t="s">
        <v>18</v>
      </c>
      <c r="F15" s="103">
        <v>200000</v>
      </c>
      <c r="G15" s="103">
        <v>200000</v>
      </c>
      <c r="H15" s="104"/>
      <c r="J15" s="6" t="s">
        <v>86</v>
      </c>
      <c r="M15" s="9">
        <f>G21+H45</f>
        <v>1840840.9990000001</v>
      </c>
    </row>
    <row r="16" spans="1:16" x14ac:dyDescent="0.2">
      <c r="A16" s="7">
        <v>7</v>
      </c>
      <c r="B16" s="6" t="s">
        <v>19</v>
      </c>
      <c r="F16" s="103">
        <v>200000</v>
      </c>
      <c r="G16" s="105">
        <v>200000</v>
      </c>
      <c r="H16" s="104"/>
    </row>
    <row r="17" spans="1:13" ht="18" x14ac:dyDescent="0.25">
      <c r="A17" s="7">
        <v>8</v>
      </c>
      <c r="B17" s="6" t="s">
        <v>20</v>
      </c>
      <c r="F17" s="103">
        <v>200000</v>
      </c>
      <c r="G17" s="105">
        <v>200000</v>
      </c>
      <c r="H17" s="104"/>
      <c r="J17" s="73" t="s">
        <v>10</v>
      </c>
      <c r="K17" s="73"/>
      <c r="L17" s="73"/>
      <c r="M17" s="74">
        <f>H21+I45</f>
        <v>112797</v>
      </c>
    </row>
    <row r="18" spans="1:13" ht="15.75" x14ac:dyDescent="0.25">
      <c r="A18" s="7">
        <v>9</v>
      </c>
      <c r="B18" s="6" t="s">
        <v>37</v>
      </c>
      <c r="F18" s="103">
        <v>75000</v>
      </c>
      <c r="G18" s="105">
        <v>75000</v>
      </c>
      <c r="H18" s="104"/>
      <c r="J18" s="2"/>
      <c r="K18" s="2"/>
      <c r="L18" s="2"/>
      <c r="M18" s="17"/>
    </row>
    <row r="19" spans="1:13" x14ac:dyDescent="0.2">
      <c r="A19" s="196">
        <v>10</v>
      </c>
      <c r="B19" s="54" t="s">
        <v>21</v>
      </c>
      <c r="C19" s="54"/>
      <c r="D19" s="54"/>
      <c r="E19" s="54"/>
      <c r="F19" s="197">
        <v>92756</v>
      </c>
      <c r="G19" s="54"/>
      <c r="H19" s="198">
        <v>92756</v>
      </c>
      <c r="J19" s="18" t="s">
        <v>11</v>
      </c>
      <c r="K19" s="18"/>
      <c r="L19" s="18"/>
      <c r="M19" s="9">
        <v>0</v>
      </c>
    </row>
    <row r="20" spans="1:13" x14ac:dyDescent="0.2">
      <c r="A20" s="23"/>
      <c r="H20" s="35"/>
    </row>
    <row r="21" spans="1:13" ht="15" x14ac:dyDescent="0.25">
      <c r="A21" s="24"/>
      <c r="B21" s="15"/>
      <c r="C21" s="15"/>
      <c r="D21" s="15"/>
      <c r="E21" s="45" t="s">
        <v>12</v>
      </c>
      <c r="F21" s="25">
        <f>SUM(F10:F19)</f>
        <v>1917756</v>
      </c>
      <c r="G21" s="25">
        <f>SUM(G10:G19)</f>
        <v>1825000</v>
      </c>
      <c r="H21" s="36">
        <f>SUM(H10:H19)</f>
        <v>92756</v>
      </c>
      <c r="I21" s="13"/>
    </row>
    <row r="22" spans="1:13" x14ac:dyDescent="0.2">
      <c r="F22" s="71"/>
      <c r="I22" s="13"/>
    </row>
    <row r="23" spans="1:13" x14ac:dyDescent="0.2">
      <c r="F23" s="230"/>
      <c r="I23" s="13"/>
    </row>
    <row r="24" spans="1:13" x14ac:dyDescent="0.2">
      <c r="B24" s="18"/>
      <c r="C24" s="18"/>
      <c r="F24" s="13"/>
      <c r="H24" s="12"/>
      <c r="I24" s="13"/>
    </row>
    <row r="25" spans="1:13" ht="15" x14ac:dyDescent="0.25">
      <c r="A25" s="306" t="s">
        <v>6</v>
      </c>
      <c r="B25" s="306"/>
      <c r="C25" s="306"/>
      <c r="D25" s="306"/>
      <c r="E25" s="306"/>
      <c r="F25" s="306"/>
      <c r="G25" s="306"/>
      <c r="H25" s="306"/>
      <c r="I25" s="294"/>
      <c r="J25" s="295"/>
    </row>
    <row r="26" spans="1:13" ht="6" customHeight="1" x14ac:dyDescent="0.2">
      <c r="A26" s="7"/>
      <c r="I26" s="296"/>
      <c r="J26" s="297"/>
    </row>
    <row r="27" spans="1:13" ht="22.5" x14ac:dyDescent="0.25">
      <c r="A27" s="40"/>
      <c r="B27" s="41"/>
      <c r="C27" s="41"/>
      <c r="D27" s="41"/>
      <c r="E27" s="41"/>
      <c r="F27" s="15"/>
      <c r="G27" s="68" t="s">
        <v>30</v>
      </c>
      <c r="H27" s="68" t="s">
        <v>31</v>
      </c>
      <c r="I27" s="308" t="s">
        <v>32</v>
      </c>
      <c r="J27" s="309"/>
    </row>
    <row r="28" spans="1:13" x14ac:dyDescent="0.2">
      <c r="A28" s="64" t="s">
        <v>28</v>
      </c>
      <c r="B28" s="65" t="s">
        <v>14</v>
      </c>
      <c r="C28" s="65"/>
      <c r="D28" s="66"/>
      <c r="E28" s="66"/>
      <c r="F28" s="66"/>
      <c r="G28" s="67" t="s">
        <v>15</v>
      </c>
      <c r="H28" s="67" t="s">
        <v>15</v>
      </c>
      <c r="I28" s="310" t="s">
        <v>15</v>
      </c>
      <c r="J28" s="310"/>
    </row>
    <row r="29" spans="1:13" ht="28.5" customHeight="1" x14ac:dyDescent="0.2">
      <c r="A29" s="42">
        <v>1</v>
      </c>
      <c r="B29" s="298" t="s">
        <v>65</v>
      </c>
      <c r="C29" s="298"/>
      <c r="D29" s="298"/>
      <c r="E29" s="298"/>
      <c r="F29" s="298"/>
      <c r="G29" s="43">
        <f>8125+4714+1773</f>
        <v>14612</v>
      </c>
      <c r="H29" s="85">
        <f>3653+3653+3653</f>
        <v>10959</v>
      </c>
      <c r="I29" s="303">
        <v>3653</v>
      </c>
      <c r="J29" s="303"/>
    </row>
    <row r="30" spans="1:13" ht="33.75" customHeight="1" x14ac:dyDescent="0.2">
      <c r="A30" s="42">
        <v>2</v>
      </c>
      <c r="B30" s="298" t="s">
        <v>66</v>
      </c>
      <c r="C30" s="298"/>
      <c r="D30" s="298"/>
      <c r="E30" s="298"/>
      <c r="F30" s="298"/>
      <c r="G30" s="43">
        <f>4888+1992+5693</f>
        <v>12573</v>
      </c>
      <c r="H30" s="81">
        <v>9426.75</v>
      </c>
      <c r="I30" s="303">
        <v>3146.25</v>
      </c>
      <c r="J30" s="303"/>
    </row>
    <row r="31" spans="1:13" ht="30" customHeight="1" x14ac:dyDescent="0.2">
      <c r="A31" s="42">
        <v>3</v>
      </c>
      <c r="B31" s="298" t="s">
        <v>38</v>
      </c>
      <c r="C31" s="298"/>
      <c r="D31" s="298"/>
      <c r="E31" s="298"/>
      <c r="F31" s="298"/>
      <c r="G31" s="43">
        <v>22121</v>
      </c>
      <c r="H31" s="81">
        <v>22121</v>
      </c>
      <c r="I31" s="303"/>
      <c r="J31" s="303"/>
    </row>
    <row r="32" spans="1:13" x14ac:dyDescent="0.2">
      <c r="A32" s="42">
        <v>4</v>
      </c>
      <c r="B32" s="307" t="s">
        <v>39</v>
      </c>
      <c r="C32" s="307"/>
      <c r="D32" s="307"/>
      <c r="E32" s="307"/>
      <c r="F32" s="307"/>
      <c r="G32" s="78" t="s">
        <v>84</v>
      </c>
      <c r="I32" s="301"/>
      <c r="J32" s="301"/>
    </row>
    <row r="33" spans="1:11" ht="15" x14ac:dyDescent="0.25">
      <c r="A33" s="42">
        <v>5</v>
      </c>
      <c r="B33" s="300" t="s">
        <v>70</v>
      </c>
      <c r="C33" s="300"/>
      <c r="D33" s="300"/>
      <c r="E33" s="300"/>
      <c r="F33" s="300"/>
      <c r="G33" s="13">
        <v>-3082</v>
      </c>
      <c r="H33" s="71">
        <v>-3082</v>
      </c>
      <c r="I33" s="301"/>
      <c r="J33" s="301"/>
    </row>
    <row r="34" spans="1:11" ht="29.25" customHeight="1" x14ac:dyDescent="0.2">
      <c r="A34" s="42">
        <v>6</v>
      </c>
      <c r="B34" s="298" t="s">
        <v>82</v>
      </c>
      <c r="C34" s="298"/>
      <c r="D34" s="298"/>
      <c r="E34" s="298"/>
      <c r="F34" s="298"/>
      <c r="G34" s="43">
        <v>-44693</v>
      </c>
      <c r="H34" s="85">
        <f>-11173.251+-11173.25+-11173.25</f>
        <v>-33519.751000000004</v>
      </c>
      <c r="I34" s="303">
        <v>-11173.25</v>
      </c>
      <c r="J34" s="303"/>
    </row>
    <row r="35" spans="1:11" ht="28.5" customHeight="1" x14ac:dyDescent="0.2">
      <c r="A35" s="42">
        <v>7</v>
      </c>
      <c r="B35" s="299" t="s">
        <v>85</v>
      </c>
      <c r="C35" s="299"/>
      <c r="D35" s="299"/>
      <c r="E35" s="299"/>
      <c r="F35" s="299"/>
      <c r="G35" s="290">
        <v>4773</v>
      </c>
      <c r="I35" s="304">
        <v>4773</v>
      </c>
      <c r="J35" s="304"/>
      <c r="K35" s="77"/>
    </row>
    <row r="36" spans="1:11" x14ac:dyDescent="0.2">
      <c r="A36" s="7">
        <v>8</v>
      </c>
      <c r="B36" s="299" t="s">
        <v>93</v>
      </c>
      <c r="C36" s="299"/>
      <c r="D36" s="299"/>
      <c r="E36" s="299"/>
      <c r="F36" s="299"/>
      <c r="G36" s="13">
        <v>575</v>
      </c>
      <c r="H36" s="71">
        <v>575</v>
      </c>
      <c r="I36" s="301"/>
      <c r="J36" s="301"/>
    </row>
    <row r="37" spans="1:11" ht="15" x14ac:dyDescent="0.25">
      <c r="A37" s="7">
        <v>9</v>
      </c>
      <c r="B37" s="300" t="s">
        <v>94</v>
      </c>
      <c r="C37" s="300"/>
      <c r="D37" s="300"/>
      <c r="E37" s="300"/>
      <c r="F37" s="300"/>
      <c r="G37" s="43">
        <v>18722</v>
      </c>
      <c r="H37" s="71">
        <v>9361</v>
      </c>
      <c r="I37" s="301">
        <v>9361</v>
      </c>
      <c r="J37" s="301"/>
    </row>
    <row r="38" spans="1:11" x14ac:dyDescent="0.2">
      <c r="A38" s="42">
        <v>10</v>
      </c>
      <c r="B38" s="298" t="s">
        <v>95</v>
      </c>
      <c r="C38" s="298"/>
      <c r="D38" s="298"/>
      <c r="E38" s="298"/>
      <c r="F38" s="298"/>
      <c r="G38" s="71">
        <v>11328</v>
      </c>
      <c r="I38" s="301">
        <v>11328</v>
      </c>
      <c r="J38" s="301"/>
    </row>
    <row r="39" spans="1:11" x14ac:dyDescent="0.2">
      <c r="A39" s="42">
        <v>11</v>
      </c>
      <c r="B39" s="298" t="s">
        <v>96</v>
      </c>
      <c r="C39" s="298"/>
      <c r="D39" s="298"/>
      <c r="E39" s="298"/>
      <c r="F39" s="298"/>
      <c r="G39" s="43">
        <v>3841</v>
      </c>
      <c r="I39" s="301">
        <v>3841</v>
      </c>
      <c r="J39" s="301"/>
    </row>
    <row r="40" spans="1:11" x14ac:dyDescent="0.2">
      <c r="A40" s="42">
        <v>12</v>
      </c>
      <c r="B40" s="298" t="s">
        <v>450</v>
      </c>
      <c r="C40" s="298"/>
      <c r="D40" s="298"/>
      <c r="E40" s="298"/>
      <c r="F40" s="298"/>
      <c r="G40" s="43">
        <v>-4888</v>
      </c>
      <c r="I40" s="301">
        <v>-4888</v>
      </c>
      <c r="J40" s="301"/>
    </row>
    <row r="41" spans="1:11" x14ac:dyDescent="0.2">
      <c r="A41" s="7">
        <v>13</v>
      </c>
      <c r="B41" s="299"/>
      <c r="C41" s="299"/>
      <c r="D41" s="299"/>
      <c r="E41" s="299"/>
      <c r="F41" s="299"/>
      <c r="G41" s="13"/>
      <c r="I41" s="301"/>
      <c r="J41" s="301"/>
    </row>
    <row r="42" spans="1:11" x14ac:dyDescent="0.2">
      <c r="A42" s="42">
        <v>14</v>
      </c>
      <c r="B42" s="298"/>
      <c r="C42" s="298"/>
      <c r="D42" s="298"/>
      <c r="E42" s="298"/>
      <c r="F42" s="298"/>
      <c r="G42" s="43"/>
      <c r="I42" s="301"/>
      <c r="J42" s="301"/>
    </row>
    <row r="43" spans="1:11" x14ac:dyDescent="0.2">
      <c r="A43" s="7">
        <v>15</v>
      </c>
      <c r="B43" s="300"/>
      <c r="C43" s="300"/>
      <c r="D43" s="300"/>
      <c r="E43" s="300"/>
      <c r="F43" s="300"/>
      <c r="G43" s="13"/>
      <c r="I43" s="301"/>
      <c r="J43" s="301"/>
    </row>
    <row r="44" spans="1:11" x14ac:dyDescent="0.2">
      <c r="A44" s="14"/>
      <c r="B44" s="15"/>
      <c r="C44" s="15"/>
      <c r="D44" s="15"/>
      <c r="E44" s="15"/>
      <c r="F44" s="15"/>
      <c r="G44" s="15"/>
      <c r="H44" s="15"/>
      <c r="I44" s="292"/>
      <c r="J44" s="293"/>
    </row>
    <row r="45" spans="1:11" ht="15" x14ac:dyDescent="0.25">
      <c r="A45" s="7"/>
      <c r="F45" s="27" t="s">
        <v>12</v>
      </c>
      <c r="G45" s="26">
        <f>SUM(G29:G44)</f>
        <v>35882</v>
      </c>
      <c r="H45" s="71">
        <f>SUM(H29:H44)</f>
        <v>15840.998999999996</v>
      </c>
      <c r="I45" s="302">
        <f>SUM(I29:I43)</f>
        <v>20041</v>
      </c>
      <c r="J45" s="302"/>
    </row>
    <row r="46" spans="1:11" x14ac:dyDescent="0.2">
      <c r="A46" s="7"/>
      <c r="F46" s="27"/>
      <c r="G46" s="26"/>
      <c r="I46" s="301"/>
      <c r="J46" s="301"/>
    </row>
    <row r="47" spans="1:11" ht="15" x14ac:dyDescent="0.25">
      <c r="A47" s="37"/>
      <c r="B47" s="38"/>
      <c r="C47" s="38"/>
      <c r="D47" s="38"/>
      <c r="E47" s="38"/>
      <c r="F47" s="38"/>
      <c r="G47" s="39" t="s">
        <v>8</v>
      </c>
      <c r="H47" s="72">
        <f>G45</f>
        <v>35882</v>
      </c>
      <c r="I47" s="292"/>
      <c r="J47" s="293"/>
    </row>
    <row r="48" spans="1:11" x14ac:dyDescent="0.2">
      <c r="A48" s="28"/>
      <c r="B48" s="28"/>
      <c r="C48" s="28"/>
      <c r="F48" s="28"/>
    </row>
    <row r="49" spans="1:6" ht="15" customHeight="1" x14ac:dyDescent="0.2">
      <c r="A49" s="20"/>
      <c r="B49" s="20"/>
      <c r="C49" s="20"/>
      <c r="D49" s="12"/>
      <c r="E49" s="12"/>
    </row>
    <row r="50" spans="1:6" x14ac:dyDescent="0.2">
      <c r="B50" s="29"/>
      <c r="C50" s="29"/>
      <c r="F50" s="30"/>
    </row>
    <row r="51" spans="1:6" x14ac:dyDescent="0.2">
      <c r="B51" s="29"/>
      <c r="C51" s="29"/>
      <c r="F51" s="30"/>
    </row>
    <row r="52" spans="1:6" x14ac:dyDescent="0.2">
      <c r="B52" s="29"/>
      <c r="C52" s="29"/>
      <c r="F52" s="30"/>
    </row>
    <row r="54" spans="1:6" x14ac:dyDescent="0.2">
      <c r="E54" s="31"/>
      <c r="F54" s="13"/>
    </row>
    <row r="55" spans="1:6" ht="15" x14ac:dyDescent="0.25">
      <c r="B55" s="32"/>
      <c r="C55" s="32"/>
      <c r="E55" s="33"/>
      <c r="F55" s="34"/>
    </row>
    <row r="57" spans="1:6" x14ac:dyDescent="0.2">
      <c r="A57" s="3"/>
    </row>
    <row r="59" spans="1:6" x14ac:dyDescent="0.2">
      <c r="A59" s="4"/>
    </row>
  </sheetData>
  <mergeCells count="40">
    <mergeCell ref="J13:L13"/>
    <mergeCell ref="B39:F39"/>
    <mergeCell ref="B40:F40"/>
    <mergeCell ref="B41:F41"/>
    <mergeCell ref="B42:F42"/>
    <mergeCell ref="A25:H25"/>
    <mergeCell ref="B31:F31"/>
    <mergeCell ref="B32:F32"/>
    <mergeCell ref="B33:F33"/>
    <mergeCell ref="B38:F38"/>
    <mergeCell ref="I27:J27"/>
    <mergeCell ref="I28:J28"/>
    <mergeCell ref="I29:J29"/>
    <mergeCell ref="I30:J30"/>
    <mergeCell ref="I31:J31"/>
    <mergeCell ref="I38:J38"/>
    <mergeCell ref="I39:J39"/>
    <mergeCell ref="I40:J40"/>
    <mergeCell ref="I41:J41"/>
    <mergeCell ref="I32:J32"/>
    <mergeCell ref="I33:J33"/>
    <mergeCell ref="I34:J34"/>
    <mergeCell ref="I35:J35"/>
    <mergeCell ref="I36:J36"/>
    <mergeCell ref="I47:J47"/>
    <mergeCell ref="I25:J25"/>
    <mergeCell ref="I26:J26"/>
    <mergeCell ref="B29:F29"/>
    <mergeCell ref="B30:F30"/>
    <mergeCell ref="B34:F34"/>
    <mergeCell ref="B35:F35"/>
    <mergeCell ref="B36:F36"/>
    <mergeCell ref="B37:F37"/>
    <mergeCell ref="B43:F43"/>
    <mergeCell ref="I42:J42"/>
    <mergeCell ref="I43:J43"/>
    <mergeCell ref="I44:J44"/>
    <mergeCell ref="I45:J45"/>
    <mergeCell ref="I46:J46"/>
    <mergeCell ref="I37:J37"/>
  </mergeCells>
  <pageMargins left="0.7" right="0.7" top="0.75" bottom="0.75" header="0.3" footer="0.3"/>
  <pageSetup scale="6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CD3E0-F0C6-472B-B808-D8364727FBC6}">
  <sheetPr>
    <pageSetUpPr fitToPage="1"/>
  </sheetPr>
  <dimension ref="A1:M90"/>
  <sheetViews>
    <sheetView topLeftCell="A45" zoomScaleNormal="100" workbookViewId="0">
      <selection activeCell="E62" sqref="E62"/>
    </sheetView>
  </sheetViews>
  <sheetFormatPr defaultColWidth="0" defaultRowHeight="14.25" x14ac:dyDescent="0.2"/>
  <cols>
    <col min="1" max="1" width="8.28515625" style="18" customWidth="1"/>
    <col min="2" max="4" width="6.42578125" style="18" customWidth="1"/>
    <col min="5" max="5" width="44.5703125" style="18" customWidth="1"/>
    <col min="6" max="9" width="20.5703125" style="18" customWidth="1"/>
    <col min="10" max="10" width="20.5703125" style="28" customWidth="1"/>
    <col min="11" max="11" width="20.5703125" style="18" hidden="1" customWidth="1"/>
    <col min="12" max="12" width="4.42578125" style="18" hidden="1" customWidth="1"/>
    <col min="13" max="13" width="15.7109375" style="18" hidden="1" customWidth="1"/>
    <col min="14" max="16384" width="0" style="18" hidden="1"/>
  </cols>
  <sheetData>
    <row r="1" spans="1:13" ht="27" customHeight="1" thickBot="1" x14ac:dyDescent="0.3">
      <c r="A1" s="1" t="s">
        <v>5</v>
      </c>
      <c r="B1" s="237"/>
      <c r="C1" s="237"/>
      <c r="D1" s="237"/>
      <c r="E1" s="237"/>
      <c r="H1" s="237"/>
      <c r="I1" s="237"/>
      <c r="J1" s="238"/>
      <c r="K1" s="237"/>
      <c r="L1" s="237"/>
      <c r="M1" s="239"/>
    </row>
    <row r="2" spans="1:13" ht="18" customHeight="1" x14ac:dyDescent="0.25">
      <c r="A2" s="47" t="s">
        <v>0</v>
      </c>
      <c r="B2" s="240"/>
      <c r="C2" s="240"/>
      <c r="D2" s="49" t="s">
        <v>77</v>
      </c>
      <c r="E2" s="241"/>
      <c r="F2" s="241"/>
      <c r="G2" s="242"/>
      <c r="H2" s="51"/>
      <c r="I2" s="55" t="s">
        <v>29</v>
      </c>
      <c r="J2" s="243" t="s">
        <v>303</v>
      </c>
      <c r="K2" s="51"/>
      <c r="L2" s="55"/>
      <c r="M2" s="286"/>
    </row>
    <row r="3" spans="1:13" ht="18" customHeight="1" x14ac:dyDescent="0.25">
      <c r="A3" s="47" t="s">
        <v>1</v>
      </c>
      <c r="B3" s="240"/>
      <c r="C3" s="240"/>
      <c r="D3" s="53" t="s">
        <v>33</v>
      </c>
      <c r="E3" s="53"/>
      <c r="F3" s="53"/>
      <c r="G3" s="240"/>
      <c r="H3" s="46"/>
      <c r="I3" s="55" t="s">
        <v>13</v>
      </c>
      <c r="J3" s="244">
        <v>46213</v>
      </c>
      <c r="K3" s="46"/>
      <c r="L3" s="55"/>
      <c r="M3" s="287"/>
    </row>
    <row r="4" spans="1:13" ht="17.25" customHeight="1" x14ac:dyDescent="0.25">
      <c r="A4" s="47" t="s">
        <v>2</v>
      </c>
      <c r="B4" s="240"/>
      <c r="C4" s="240"/>
      <c r="D4" s="53" t="s">
        <v>3</v>
      </c>
      <c r="E4" s="53"/>
      <c r="F4" s="53"/>
      <c r="G4" s="240"/>
      <c r="H4" s="46"/>
      <c r="I4" s="55" t="s">
        <v>76</v>
      </c>
      <c r="J4" s="101">
        <v>46220</v>
      </c>
      <c r="K4" s="46"/>
      <c r="L4" s="55"/>
      <c r="M4" s="288"/>
    </row>
    <row r="5" spans="1:13" ht="18" customHeight="1" thickBot="1" x14ac:dyDescent="0.3">
      <c r="A5" s="57" t="s">
        <v>4</v>
      </c>
      <c r="B5" s="245"/>
      <c r="C5" s="245"/>
      <c r="D5" s="245" t="str">
        <f>+D2</f>
        <v>Sydney Schachne</v>
      </c>
      <c r="E5" s="245"/>
      <c r="F5" s="245"/>
      <c r="G5" s="245"/>
      <c r="H5" s="59"/>
      <c r="I5" s="59"/>
      <c r="J5" s="229"/>
      <c r="K5" s="59"/>
      <c r="L5" s="60"/>
      <c r="M5" s="102"/>
    </row>
    <row r="6" spans="1:13" ht="6" customHeight="1" x14ac:dyDescent="0.2">
      <c r="K6" s="3"/>
      <c r="M6" s="246"/>
    </row>
    <row r="7" spans="1:13" ht="15" x14ac:dyDescent="0.25">
      <c r="A7" s="306" t="s">
        <v>40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24"/>
      <c r="M7" s="325"/>
    </row>
    <row r="8" spans="1:13" ht="6" customHeight="1" x14ac:dyDescent="0.2">
      <c r="A8" s="247"/>
      <c r="K8" s="248"/>
      <c r="L8" s="326"/>
      <c r="M8" s="327"/>
    </row>
    <row r="9" spans="1:13" ht="42" customHeight="1" x14ac:dyDescent="0.25">
      <c r="A9" s="40"/>
      <c r="B9" s="41"/>
      <c r="C9" s="41"/>
      <c r="D9" s="41"/>
      <c r="E9" s="87"/>
      <c r="F9" s="249" t="s">
        <v>41</v>
      </c>
      <c r="G9" s="249" t="s">
        <v>78</v>
      </c>
      <c r="H9" s="249" t="s">
        <v>42</v>
      </c>
      <c r="I9" s="249" t="s">
        <v>438</v>
      </c>
      <c r="J9" s="250" t="s">
        <v>439</v>
      </c>
      <c r="K9" s="251" t="s">
        <v>79</v>
      </c>
      <c r="L9" s="328" t="s">
        <v>43</v>
      </c>
      <c r="M9" s="329"/>
    </row>
    <row r="10" spans="1:13" x14ac:dyDescent="0.2">
      <c r="A10" s="64"/>
      <c r="B10" s="65"/>
      <c r="C10" s="65"/>
      <c r="D10" s="3"/>
      <c r="E10" s="125"/>
      <c r="F10" s="131"/>
      <c r="G10" s="131"/>
      <c r="H10" s="252"/>
      <c r="I10" s="253"/>
      <c r="J10" s="254"/>
      <c r="K10" s="227" t="s">
        <v>15</v>
      </c>
      <c r="L10" s="330" t="s">
        <v>15</v>
      </c>
      <c r="M10" s="331"/>
    </row>
    <row r="11" spans="1:13" ht="15" customHeight="1" x14ac:dyDescent="0.25">
      <c r="A11" s="247"/>
      <c r="B11" s="82" t="s">
        <v>44</v>
      </c>
      <c r="E11" s="88"/>
      <c r="F11" s="94">
        <v>32555</v>
      </c>
      <c r="G11" s="94"/>
      <c r="H11" s="253">
        <v>32555</v>
      </c>
      <c r="I11" s="255">
        <v>31068</v>
      </c>
      <c r="J11" s="256">
        <f>I11-H11</f>
        <v>-1487</v>
      </c>
      <c r="K11" s="257">
        <v>32555</v>
      </c>
      <c r="L11" s="311">
        <f>K11-H11</f>
        <v>0</v>
      </c>
      <c r="M11" s="312"/>
    </row>
    <row r="12" spans="1:13" ht="15" customHeight="1" x14ac:dyDescent="0.2">
      <c r="A12" s="247"/>
      <c r="E12" s="88"/>
      <c r="F12" s="94"/>
      <c r="G12" s="94"/>
      <c r="H12" s="253"/>
      <c r="I12" s="253"/>
      <c r="J12" s="256"/>
      <c r="K12" s="258"/>
      <c r="L12" s="311"/>
      <c r="M12" s="312"/>
    </row>
    <row r="13" spans="1:13" ht="15" x14ac:dyDescent="0.25">
      <c r="A13" s="247"/>
      <c r="B13" s="82" t="s">
        <v>67</v>
      </c>
      <c r="E13" s="88"/>
      <c r="F13" s="95">
        <v>31874</v>
      </c>
      <c r="G13" s="95"/>
      <c r="H13" s="259">
        <f>SUM(G13:G15)+F13</f>
        <v>32688</v>
      </c>
      <c r="I13" s="259">
        <v>38365.120000000003</v>
      </c>
      <c r="J13" s="260">
        <f>I13-H13</f>
        <v>5677.1200000000026</v>
      </c>
      <c r="K13" s="257">
        <v>36770</v>
      </c>
      <c r="L13" s="311">
        <f>K13-H13</f>
        <v>4082</v>
      </c>
      <c r="M13" s="312"/>
    </row>
    <row r="14" spans="1:13" ht="25.5" x14ac:dyDescent="0.2">
      <c r="A14" s="247"/>
      <c r="B14" s="80"/>
      <c r="C14" s="80"/>
      <c r="D14" s="80"/>
      <c r="E14" s="89" t="s">
        <v>87</v>
      </c>
      <c r="F14" s="96"/>
      <c r="G14" s="96">
        <v>-1486</v>
      </c>
      <c r="H14" s="261"/>
      <c r="I14" s="261"/>
      <c r="J14" s="262"/>
      <c r="K14" s="263"/>
      <c r="L14" s="332"/>
      <c r="M14" s="333"/>
    </row>
    <row r="15" spans="1:13" x14ac:dyDescent="0.2">
      <c r="A15" s="247"/>
      <c r="B15" s="80"/>
      <c r="C15" s="80"/>
      <c r="D15" s="80"/>
      <c r="E15" s="89" t="s">
        <v>73</v>
      </c>
      <c r="F15" s="96"/>
      <c r="G15" s="96">
        <v>2300</v>
      </c>
      <c r="H15" s="261"/>
      <c r="I15" s="261"/>
      <c r="J15" s="262"/>
      <c r="K15" s="263"/>
      <c r="L15" s="332"/>
      <c r="M15" s="333"/>
    </row>
    <row r="16" spans="1:13" x14ac:dyDescent="0.2">
      <c r="A16" s="247"/>
      <c r="B16" s="80"/>
      <c r="C16" s="80"/>
      <c r="D16" s="80"/>
      <c r="E16" s="90"/>
      <c r="F16" s="97"/>
      <c r="G16" s="97"/>
      <c r="H16" s="261"/>
      <c r="I16" s="261"/>
      <c r="J16" s="262"/>
      <c r="K16" s="263"/>
      <c r="L16" s="332"/>
      <c r="M16" s="333"/>
    </row>
    <row r="17" spans="1:13" ht="15" x14ac:dyDescent="0.2">
      <c r="A17" s="264"/>
      <c r="B17" s="83" t="s">
        <v>45</v>
      </c>
      <c r="C17" s="75"/>
      <c r="D17" s="75"/>
      <c r="E17" s="91"/>
      <c r="F17" s="98">
        <v>22738</v>
      </c>
      <c r="G17" s="98">
        <v>0</v>
      </c>
      <c r="H17" s="253">
        <f>SUM(G17:G18)+F17</f>
        <v>23238</v>
      </c>
      <c r="I17" s="253">
        <v>6544</v>
      </c>
      <c r="J17" s="256">
        <f>I17-H17</f>
        <v>-16694</v>
      </c>
      <c r="K17" s="265">
        <v>8200</v>
      </c>
      <c r="L17" s="311">
        <f>K17-H17</f>
        <v>-15038</v>
      </c>
      <c r="M17" s="312"/>
    </row>
    <row r="18" spans="1:13" x14ac:dyDescent="0.2">
      <c r="A18" s="264"/>
      <c r="B18" s="80"/>
      <c r="C18" s="75"/>
      <c r="D18" s="75"/>
      <c r="E18" s="89" t="s">
        <v>72</v>
      </c>
      <c r="F18" s="99"/>
      <c r="G18" s="99">
        <v>500</v>
      </c>
      <c r="H18" s="253"/>
      <c r="I18" s="253"/>
      <c r="J18" s="256"/>
      <c r="K18" s="265"/>
      <c r="L18" s="313"/>
      <c r="M18" s="314"/>
    </row>
    <row r="19" spans="1:13" x14ac:dyDescent="0.2">
      <c r="A19" s="264"/>
      <c r="B19" s="80"/>
      <c r="C19" s="75"/>
      <c r="D19" s="75"/>
      <c r="E19" s="91"/>
      <c r="F19" s="98"/>
      <c r="G19" s="98"/>
      <c r="H19" s="253"/>
      <c r="I19" s="253"/>
      <c r="J19" s="256"/>
      <c r="K19" s="265"/>
      <c r="L19" s="313"/>
      <c r="M19" s="314"/>
    </row>
    <row r="20" spans="1:13" ht="15" x14ac:dyDescent="0.2">
      <c r="A20" s="264"/>
      <c r="B20" s="83" t="s">
        <v>46</v>
      </c>
      <c r="C20" s="75"/>
      <c r="D20" s="75"/>
      <c r="E20" s="91"/>
      <c r="F20" s="98">
        <f>10000+4750</f>
        <v>14750</v>
      </c>
      <c r="G20" s="98"/>
      <c r="H20" s="253">
        <v>14750</v>
      </c>
      <c r="I20" s="253">
        <v>25369</v>
      </c>
      <c r="J20" s="256">
        <f>I20-H20</f>
        <v>10619</v>
      </c>
      <c r="K20" s="263">
        <v>25369</v>
      </c>
      <c r="L20" s="311">
        <f>K20-H20</f>
        <v>10619</v>
      </c>
      <c r="M20" s="312"/>
    </row>
    <row r="21" spans="1:13" x14ac:dyDescent="0.2">
      <c r="A21" s="264"/>
      <c r="B21" s="80"/>
      <c r="C21" s="75"/>
      <c r="D21" s="75"/>
      <c r="E21" s="91"/>
      <c r="F21" s="98"/>
      <c r="G21" s="98"/>
      <c r="H21" s="253"/>
      <c r="I21" s="253"/>
      <c r="J21" s="256"/>
      <c r="K21" s="265"/>
      <c r="L21" s="311"/>
      <c r="M21" s="312"/>
    </row>
    <row r="22" spans="1:13" ht="15" x14ac:dyDescent="0.2">
      <c r="A22" s="264"/>
      <c r="B22" s="83" t="s">
        <v>83</v>
      </c>
      <c r="C22" s="75"/>
      <c r="D22" s="75"/>
      <c r="E22" s="91"/>
      <c r="F22" s="98">
        <v>0</v>
      </c>
      <c r="G22" s="98"/>
      <c r="H22" s="253">
        <v>0</v>
      </c>
      <c r="I22" s="253">
        <v>29608</v>
      </c>
      <c r="J22" s="256">
        <f>I22-H22</f>
        <v>29608</v>
      </c>
      <c r="K22" s="263">
        <v>29608</v>
      </c>
      <c r="L22" s="311">
        <f>K22-H22</f>
        <v>29608</v>
      </c>
      <c r="M22" s="312"/>
    </row>
    <row r="23" spans="1:13" x14ac:dyDescent="0.2">
      <c r="A23" s="264"/>
      <c r="B23" s="80"/>
      <c r="C23" s="75"/>
      <c r="D23" s="75"/>
      <c r="E23" s="91"/>
      <c r="F23" s="98"/>
      <c r="G23" s="98"/>
      <c r="H23" s="253"/>
      <c r="I23" s="253"/>
      <c r="J23" s="256"/>
      <c r="K23" s="265"/>
      <c r="L23" s="311"/>
      <c r="M23" s="312"/>
    </row>
    <row r="24" spans="1:13" ht="15" x14ac:dyDescent="0.2">
      <c r="A24" s="264"/>
      <c r="B24" s="83" t="s">
        <v>47</v>
      </c>
      <c r="C24" s="75"/>
      <c r="D24" s="75"/>
      <c r="E24" s="91"/>
      <c r="F24" s="98">
        <f>2200+37719+19515</f>
        <v>59434</v>
      </c>
      <c r="G24" s="98"/>
      <c r="H24" s="253">
        <f>SUM(G24:G28)+F24</f>
        <v>40937</v>
      </c>
      <c r="I24" s="253">
        <v>53379</v>
      </c>
      <c r="J24" s="256">
        <f>I24-H24</f>
        <v>12442</v>
      </c>
      <c r="K24" s="265">
        <v>53541</v>
      </c>
      <c r="L24" s="311">
        <f>K24-H24</f>
        <v>12604</v>
      </c>
      <c r="M24" s="312"/>
    </row>
    <row r="25" spans="1:13" x14ac:dyDescent="0.2">
      <c r="A25" s="264"/>
      <c r="B25" s="80"/>
      <c r="C25" s="75"/>
      <c r="D25" s="75"/>
      <c r="E25" s="89" t="s">
        <v>71</v>
      </c>
      <c r="F25" s="266"/>
      <c r="G25" s="266">
        <v>1804</v>
      </c>
      <c r="H25" s="253"/>
      <c r="I25" s="252"/>
      <c r="J25" s="254"/>
      <c r="K25" s="265"/>
      <c r="L25" s="313"/>
      <c r="M25" s="314"/>
    </row>
    <row r="26" spans="1:13" x14ac:dyDescent="0.2">
      <c r="A26" s="264"/>
      <c r="B26" s="80"/>
      <c r="C26" s="75"/>
      <c r="D26" s="75"/>
      <c r="E26" s="89" t="s">
        <v>91</v>
      </c>
      <c r="F26" s="267"/>
      <c r="G26" s="267">
        <v>-2200</v>
      </c>
      <c r="H26" s="252"/>
      <c r="I26" s="252"/>
      <c r="J26" s="254"/>
      <c r="K26" s="265"/>
      <c r="L26" s="313"/>
      <c r="M26" s="314"/>
    </row>
    <row r="27" spans="1:13" ht="25.5" x14ac:dyDescent="0.2">
      <c r="A27" s="264"/>
      <c r="B27" s="80"/>
      <c r="C27" s="75"/>
      <c r="D27" s="75"/>
      <c r="E27" s="89" t="s">
        <v>89</v>
      </c>
      <c r="F27" s="267"/>
      <c r="G27" s="267">
        <v>-15725</v>
      </c>
      <c r="H27" s="252"/>
      <c r="I27" s="252"/>
      <c r="J27" s="254"/>
      <c r="K27" s="265"/>
      <c r="L27" s="313"/>
      <c r="M27" s="314"/>
    </row>
    <row r="28" spans="1:13" x14ac:dyDescent="0.2">
      <c r="A28" s="264"/>
      <c r="B28" s="80"/>
      <c r="C28" s="75"/>
      <c r="D28" s="75"/>
      <c r="E28" s="89" t="s">
        <v>90</v>
      </c>
      <c r="F28" s="267"/>
      <c r="G28" s="267">
        <v>-2376</v>
      </c>
      <c r="H28" s="252"/>
      <c r="I28" s="252"/>
      <c r="J28" s="254"/>
      <c r="K28" s="265"/>
      <c r="L28" s="313"/>
      <c r="M28" s="314"/>
    </row>
    <row r="29" spans="1:13" x14ac:dyDescent="0.2">
      <c r="A29" s="264"/>
      <c r="B29" s="80"/>
      <c r="C29" s="75"/>
      <c r="D29" s="75"/>
      <c r="E29" s="90"/>
      <c r="F29" s="268"/>
      <c r="G29" s="268"/>
      <c r="H29" s="252"/>
      <c r="I29" s="252"/>
      <c r="J29" s="254"/>
      <c r="K29" s="265"/>
      <c r="L29" s="313"/>
      <c r="M29" s="314"/>
    </row>
    <row r="30" spans="1:13" ht="15" x14ac:dyDescent="0.2">
      <c r="A30" s="264"/>
      <c r="B30" s="83" t="s">
        <v>68</v>
      </c>
      <c r="C30" s="75"/>
      <c r="D30" s="75"/>
      <c r="E30" s="91"/>
      <c r="F30" s="98">
        <v>16848</v>
      </c>
      <c r="G30" s="98"/>
      <c r="H30" s="253">
        <f>SUM(G30:G32)+F30</f>
        <v>25587</v>
      </c>
      <c r="I30" s="253">
        <v>16859</v>
      </c>
      <c r="J30" s="256">
        <f>I30-H30</f>
        <v>-8728</v>
      </c>
      <c r="K30" s="269">
        <v>17762</v>
      </c>
      <c r="L30" s="311">
        <f>K30-H30</f>
        <v>-7825</v>
      </c>
      <c r="M30" s="312"/>
    </row>
    <row r="31" spans="1:13" ht="25.5" x14ac:dyDescent="0.2">
      <c r="A31" s="264"/>
      <c r="B31" s="83"/>
      <c r="C31" s="75"/>
      <c r="D31" s="75"/>
      <c r="E31" s="89" t="s">
        <v>89</v>
      </c>
      <c r="F31" s="94"/>
      <c r="G31" s="100">
        <v>15725</v>
      </c>
      <c r="H31" s="253"/>
      <c r="I31" s="253"/>
      <c r="J31" s="256"/>
      <c r="K31" s="269"/>
      <c r="L31" s="311"/>
      <c r="M31" s="312"/>
    </row>
    <row r="32" spans="1:13" ht="38.25" x14ac:dyDescent="0.2">
      <c r="A32" s="264"/>
      <c r="B32" s="83"/>
      <c r="C32" s="75"/>
      <c r="D32" s="75"/>
      <c r="E32" s="89" t="s">
        <v>88</v>
      </c>
      <c r="F32" s="94"/>
      <c r="G32" s="96">
        <v>-6986</v>
      </c>
      <c r="H32" s="253"/>
      <c r="I32" s="253"/>
      <c r="J32" s="256"/>
      <c r="K32" s="269"/>
      <c r="L32" s="311"/>
      <c r="M32" s="312"/>
    </row>
    <row r="33" spans="1:13" x14ac:dyDescent="0.2">
      <c r="A33" s="264"/>
      <c r="B33" s="80"/>
      <c r="C33" s="75"/>
      <c r="D33" s="75"/>
      <c r="E33" s="91"/>
      <c r="F33" s="98"/>
      <c r="G33" s="98"/>
      <c r="H33" s="253"/>
      <c r="I33" s="253"/>
      <c r="J33" s="256"/>
      <c r="K33" s="270"/>
      <c r="L33" s="311"/>
      <c r="M33" s="312"/>
    </row>
    <row r="34" spans="1:13" ht="15" x14ac:dyDescent="0.25">
      <c r="A34" s="247"/>
      <c r="B34" s="82" t="s">
        <v>69</v>
      </c>
      <c r="E34" s="88"/>
      <c r="F34" s="94">
        <v>32365</v>
      </c>
      <c r="G34" s="94"/>
      <c r="H34" s="253">
        <f>SUM(G34:G36)+F34</f>
        <v>35027</v>
      </c>
      <c r="I34" s="253">
        <v>37933</v>
      </c>
      <c r="J34" s="256">
        <f>I34-H34</f>
        <v>2906</v>
      </c>
      <c r="K34" s="257">
        <v>34357.01</v>
      </c>
      <c r="L34" s="311">
        <f>K34-H34</f>
        <v>-669.98999999999796</v>
      </c>
      <c r="M34" s="312"/>
    </row>
    <row r="35" spans="1:13" x14ac:dyDescent="0.2">
      <c r="A35" s="247"/>
      <c r="E35" s="92" t="s">
        <v>72</v>
      </c>
      <c r="F35" s="100"/>
      <c r="G35" s="100">
        <v>462</v>
      </c>
      <c r="H35" s="253"/>
      <c r="I35" s="253"/>
      <c r="J35" s="256"/>
      <c r="K35" s="258"/>
      <c r="L35" s="311"/>
      <c r="M35" s="312"/>
    </row>
    <row r="36" spans="1:13" x14ac:dyDescent="0.2">
      <c r="A36" s="247"/>
      <c r="E36" s="89" t="s">
        <v>91</v>
      </c>
      <c r="F36" s="100"/>
      <c r="G36" s="100">
        <v>2200</v>
      </c>
      <c r="H36" s="253"/>
      <c r="I36" s="253"/>
      <c r="J36" s="256"/>
      <c r="K36" s="258"/>
      <c r="L36" s="311"/>
      <c r="M36" s="312"/>
    </row>
    <row r="37" spans="1:13" x14ac:dyDescent="0.2">
      <c r="A37" s="247"/>
      <c r="E37" s="92"/>
      <c r="F37" s="100"/>
      <c r="G37" s="100"/>
      <c r="H37" s="253"/>
      <c r="I37" s="253"/>
      <c r="J37" s="256"/>
      <c r="K37" s="258"/>
      <c r="L37" s="311"/>
      <c r="M37" s="312"/>
    </row>
    <row r="38" spans="1:13" ht="15" x14ac:dyDescent="0.25">
      <c r="A38" s="247"/>
      <c r="B38" s="82" t="s">
        <v>48</v>
      </c>
      <c r="E38" s="88"/>
      <c r="F38" s="94">
        <v>87878</v>
      </c>
      <c r="G38" s="94"/>
      <c r="H38" s="253">
        <f>SUM(G38:G39)+F38</f>
        <v>85906</v>
      </c>
      <c r="I38" s="253">
        <v>75845.5</v>
      </c>
      <c r="J38" s="256">
        <f>I38-H38</f>
        <v>-10060.5</v>
      </c>
      <c r="K38" s="258">
        <v>76688</v>
      </c>
      <c r="L38" s="311">
        <f>K38-H38</f>
        <v>-9218</v>
      </c>
      <c r="M38" s="312"/>
    </row>
    <row r="39" spans="1:13" x14ac:dyDescent="0.2">
      <c r="A39" s="247"/>
      <c r="E39" s="89" t="s">
        <v>74</v>
      </c>
      <c r="F39" s="100"/>
      <c r="G39" s="100">
        <v>-1972</v>
      </c>
      <c r="H39" s="253"/>
      <c r="I39" s="253"/>
      <c r="J39" s="256"/>
      <c r="K39" s="258"/>
      <c r="L39" s="311"/>
      <c r="M39" s="312"/>
    </row>
    <row r="40" spans="1:13" x14ac:dyDescent="0.2">
      <c r="A40" s="247"/>
      <c r="E40" s="88"/>
      <c r="F40" s="94"/>
      <c r="G40" s="94"/>
      <c r="H40" s="253"/>
      <c r="I40" s="253"/>
      <c r="J40" s="256"/>
      <c r="K40" s="258"/>
      <c r="L40" s="311"/>
      <c r="M40" s="312"/>
    </row>
    <row r="41" spans="1:13" ht="15" x14ac:dyDescent="0.25">
      <c r="A41" s="247"/>
      <c r="B41" s="82" t="s">
        <v>54</v>
      </c>
      <c r="C41" s="76"/>
      <c r="D41" s="76"/>
      <c r="E41" s="93"/>
      <c r="F41" s="94">
        <v>8119</v>
      </c>
      <c r="G41" s="94"/>
      <c r="H41" s="253">
        <f>SUM(G41:G43)+F41</f>
        <v>17481</v>
      </c>
      <c r="I41" s="253">
        <v>19702</v>
      </c>
      <c r="J41" s="256">
        <f>I41-H41</f>
        <v>2221</v>
      </c>
      <c r="K41" s="258">
        <v>19481</v>
      </c>
      <c r="L41" s="311">
        <f>K41-H41</f>
        <v>2000</v>
      </c>
      <c r="M41" s="312"/>
    </row>
    <row r="42" spans="1:13" ht="15" x14ac:dyDescent="0.25">
      <c r="A42" s="247"/>
      <c r="B42" s="82"/>
      <c r="C42" s="76"/>
      <c r="D42" s="76"/>
      <c r="E42" s="89" t="s">
        <v>90</v>
      </c>
      <c r="F42" s="94"/>
      <c r="G42" s="100">
        <v>2376</v>
      </c>
      <c r="H42" s="253"/>
      <c r="I42" s="253"/>
      <c r="J42" s="256"/>
      <c r="K42" s="258"/>
      <c r="L42" s="313"/>
      <c r="M42" s="314"/>
    </row>
    <row r="43" spans="1:13" ht="38.25" x14ac:dyDescent="0.2">
      <c r="A43" s="247"/>
      <c r="C43" s="76"/>
      <c r="D43" s="76"/>
      <c r="E43" s="89" t="s">
        <v>88</v>
      </c>
      <c r="F43" s="94"/>
      <c r="G43" s="96">
        <v>6986</v>
      </c>
      <c r="H43" s="253"/>
      <c r="I43" s="253"/>
      <c r="J43" s="256"/>
      <c r="K43" s="258"/>
      <c r="L43" s="313"/>
      <c r="M43" s="314"/>
    </row>
    <row r="44" spans="1:13" x14ac:dyDescent="0.2">
      <c r="A44" s="247"/>
      <c r="E44" s="89"/>
      <c r="F44" s="94"/>
      <c r="G44" s="94"/>
      <c r="H44" s="253"/>
      <c r="I44" s="253"/>
      <c r="J44" s="256"/>
      <c r="K44" s="258"/>
      <c r="L44" s="313"/>
      <c r="M44" s="314"/>
    </row>
    <row r="45" spans="1:13" ht="15" x14ac:dyDescent="0.25">
      <c r="A45" s="247"/>
      <c r="B45" s="82" t="s">
        <v>49</v>
      </c>
      <c r="E45" s="88"/>
      <c r="F45" s="94">
        <v>12162</v>
      </c>
      <c r="G45" s="94"/>
      <c r="H45" s="253">
        <v>12162</v>
      </c>
      <c r="I45" s="253">
        <v>6939.5</v>
      </c>
      <c r="J45" s="256">
        <f>I45-H45</f>
        <v>-5222.5</v>
      </c>
      <c r="K45" s="258">
        <v>7900</v>
      </c>
      <c r="L45" s="311">
        <f>K45-H45</f>
        <v>-4262</v>
      </c>
      <c r="M45" s="312"/>
    </row>
    <row r="46" spans="1:13" x14ac:dyDescent="0.2">
      <c r="A46" s="247"/>
      <c r="E46" s="88"/>
      <c r="F46" s="94"/>
      <c r="G46" s="94"/>
      <c r="H46" s="253"/>
      <c r="I46" s="253"/>
      <c r="J46" s="256"/>
      <c r="K46" s="258"/>
      <c r="L46" s="313"/>
      <c r="M46" s="314"/>
    </row>
    <row r="47" spans="1:13" ht="15" x14ac:dyDescent="0.2">
      <c r="A47" s="264"/>
      <c r="B47" s="83" t="s">
        <v>50</v>
      </c>
      <c r="C47" s="80"/>
      <c r="D47" s="75"/>
      <c r="E47" s="91"/>
      <c r="F47" s="98">
        <v>10283</v>
      </c>
      <c r="G47" s="98"/>
      <c r="H47" s="253">
        <v>10283</v>
      </c>
      <c r="I47" s="253">
        <v>7884</v>
      </c>
      <c r="J47" s="256">
        <f>I47-H47</f>
        <v>-2399</v>
      </c>
      <c r="K47" s="265"/>
      <c r="L47" s="313"/>
      <c r="M47" s="314"/>
    </row>
    <row r="48" spans="1:13" x14ac:dyDescent="0.2">
      <c r="A48" s="264"/>
      <c r="B48" s="80"/>
      <c r="C48" s="80"/>
      <c r="D48" s="75"/>
      <c r="E48" s="91"/>
      <c r="F48" s="98"/>
      <c r="G48" s="98"/>
      <c r="H48" s="253"/>
      <c r="I48" s="253"/>
      <c r="J48" s="256"/>
      <c r="K48" s="265"/>
      <c r="L48" s="313"/>
      <c r="M48" s="314"/>
    </row>
    <row r="49" spans="1:13" ht="15" x14ac:dyDescent="0.2">
      <c r="A49" s="264"/>
      <c r="B49" s="83" t="s">
        <v>51</v>
      </c>
      <c r="C49" s="80"/>
      <c r="D49" s="75"/>
      <c r="E49" s="91"/>
      <c r="F49" s="98">
        <v>15707</v>
      </c>
      <c r="G49" s="98"/>
      <c r="H49" s="253">
        <f>SUM(G49:G51)+F49</f>
        <v>16500</v>
      </c>
      <c r="I49" s="253">
        <v>16087.5</v>
      </c>
      <c r="J49" s="256">
        <f>I49-H49</f>
        <v>-412.5</v>
      </c>
      <c r="K49" s="265">
        <v>16330</v>
      </c>
      <c r="L49" s="311">
        <f>K49-H49</f>
        <v>-170</v>
      </c>
      <c r="M49" s="314"/>
    </row>
    <row r="50" spans="1:13" x14ac:dyDescent="0.2">
      <c r="A50" s="264"/>
      <c r="B50" s="80"/>
      <c r="C50" s="80"/>
      <c r="D50" s="75"/>
      <c r="E50" s="89" t="s">
        <v>72</v>
      </c>
      <c r="F50" s="99"/>
      <c r="G50" s="99">
        <v>325</v>
      </c>
      <c r="H50" s="253"/>
      <c r="I50" s="253"/>
      <c r="J50" s="256"/>
      <c r="K50" s="265"/>
      <c r="L50" s="313"/>
      <c r="M50" s="314"/>
    </row>
    <row r="51" spans="1:13" x14ac:dyDescent="0.2">
      <c r="A51" s="264"/>
      <c r="B51" s="80"/>
      <c r="C51" s="80"/>
      <c r="D51" s="75"/>
      <c r="E51" s="89" t="s">
        <v>444</v>
      </c>
      <c r="F51" s="98"/>
      <c r="G51" s="99">
        <v>468</v>
      </c>
      <c r="H51" s="253"/>
      <c r="I51" s="253"/>
      <c r="J51" s="256"/>
      <c r="K51" s="265"/>
      <c r="L51" s="313"/>
      <c r="M51" s="314"/>
    </row>
    <row r="52" spans="1:13" x14ac:dyDescent="0.2">
      <c r="A52" s="264"/>
      <c r="B52" s="80"/>
      <c r="C52" s="80"/>
      <c r="D52" s="75"/>
      <c r="E52" s="89"/>
      <c r="F52" s="98"/>
      <c r="G52" s="99"/>
      <c r="H52" s="253"/>
      <c r="I52" s="253"/>
      <c r="J52" s="256"/>
      <c r="K52" s="265"/>
      <c r="L52" s="247"/>
      <c r="M52" s="88"/>
    </row>
    <row r="53" spans="1:13" ht="15" x14ac:dyDescent="0.2">
      <c r="A53" s="264"/>
      <c r="B53" s="83" t="s">
        <v>52</v>
      </c>
      <c r="C53" s="80"/>
      <c r="D53" s="75"/>
      <c r="E53" s="91"/>
      <c r="F53" s="98">
        <v>17945</v>
      </c>
      <c r="G53" s="98"/>
      <c r="H53" s="253">
        <f>SUM(G53:G54)+F53</f>
        <v>17160</v>
      </c>
      <c r="I53" s="253">
        <v>13754</v>
      </c>
      <c r="J53" s="256">
        <f>I53-H53</f>
        <v>-3406</v>
      </c>
      <c r="K53" s="265">
        <v>14500</v>
      </c>
      <c r="L53" s="311">
        <f>K53-H53</f>
        <v>-2660</v>
      </c>
      <c r="M53" s="312"/>
    </row>
    <row r="54" spans="1:13" x14ac:dyDescent="0.2">
      <c r="A54" s="264"/>
      <c r="B54" s="80"/>
      <c r="C54" s="80"/>
      <c r="D54" s="75"/>
      <c r="E54" s="89" t="s">
        <v>74</v>
      </c>
      <c r="F54" s="99"/>
      <c r="G54" s="99">
        <v>-785</v>
      </c>
      <c r="H54" s="253"/>
      <c r="I54" s="253"/>
      <c r="J54" s="256"/>
      <c r="K54" s="265"/>
      <c r="L54" s="313"/>
      <c r="M54" s="314"/>
    </row>
    <row r="55" spans="1:13" x14ac:dyDescent="0.2">
      <c r="A55" s="264"/>
      <c r="B55" s="80"/>
      <c r="C55" s="80"/>
      <c r="D55" s="75"/>
      <c r="E55" s="91"/>
      <c r="F55" s="98"/>
      <c r="G55" s="98"/>
      <c r="H55" s="253"/>
      <c r="I55" s="253"/>
      <c r="J55" s="256"/>
      <c r="K55" s="265"/>
      <c r="L55" s="313"/>
      <c r="M55" s="314"/>
    </row>
    <row r="56" spans="1:13" ht="15" x14ac:dyDescent="0.2">
      <c r="A56" s="264"/>
      <c r="B56" s="83" t="s">
        <v>53</v>
      </c>
      <c r="C56" s="80"/>
      <c r="D56" s="75"/>
      <c r="E56" s="91"/>
      <c r="F56" s="98">
        <v>10923</v>
      </c>
      <c r="G56" s="98"/>
      <c r="H56" s="253">
        <f>SUM(G56:G57)+F56</f>
        <v>11498</v>
      </c>
      <c r="I56" s="253">
        <v>10646.75</v>
      </c>
      <c r="J56" s="256">
        <f>I56-H56</f>
        <v>-851.25</v>
      </c>
      <c r="K56" s="265">
        <v>11242</v>
      </c>
      <c r="L56" s="311">
        <f>K56-H56</f>
        <v>-256</v>
      </c>
      <c r="M56" s="312"/>
    </row>
    <row r="57" spans="1:13" x14ac:dyDescent="0.2">
      <c r="A57" s="264"/>
      <c r="B57" s="80"/>
      <c r="C57" s="80"/>
      <c r="D57" s="75"/>
      <c r="E57" s="89"/>
      <c r="F57" s="99"/>
      <c r="G57" s="99">
        <v>575</v>
      </c>
      <c r="H57" s="253"/>
      <c r="I57" s="253"/>
      <c r="J57" s="256"/>
      <c r="K57" s="265"/>
      <c r="L57" s="313"/>
      <c r="M57" s="314"/>
    </row>
    <row r="58" spans="1:13" x14ac:dyDescent="0.2">
      <c r="A58" s="264"/>
      <c r="B58" s="80"/>
      <c r="C58" s="80"/>
      <c r="D58" s="75"/>
      <c r="E58" s="91"/>
      <c r="F58" s="98"/>
      <c r="G58" s="98"/>
      <c r="H58" s="253"/>
      <c r="I58" s="253"/>
      <c r="J58" s="256"/>
      <c r="K58" s="265"/>
      <c r="L58" s="313"/>
      <c r="M58" s="314"/>
    </row>
    <row r="59" spans="1:13" ht="15" x14ac:dyDescent="0.25">
      <c r="A59" s="247"/>
      <c r="B59" s="82" t="s">
        <v>55</v>
      </c>
      <c r="C59" s="76"/>
      <c r="D59" s="76"/>
      <c r="E59" s="93"/>
      <c r="F59" s="94">
        <v>5104</v>
      </c>
      <c r="G59" s="94"/>
      <c r="H59" s="253">
        <v>5104</v>
      </c>
      <c r="I59" s="253">
        <v>0</v>
      </c>
      <c r="J59" s="256">
        <v>0</v>
      </c>
      <c r="K59" s="258">
        <v>0</v>
      </c>
      <c r="L59" s="311">
        <f>K59-H59</f>
        <v>-5104</v>
      </c>
      <c r="M59" s="312"/>
    </row>
    <row r="60" spans="1:13" x14ac:dyDescent="0.2">
      <c r="A60" s="247"/>
      <c r="C60" s="76"/>
      <c r="D60" s="76"/>
      <c r="E60" s="93"/>
      <c r="F60" s="94"/>
      <c r="G60" s="94"/>
      <c r="H60" s="253"/>
      <c r="I60" s="253"/>
      <c r="J60" s="256"/>
      <c r="K60" s="258"/>
      <c r="L60" s="313"/>
      <c r="M60" s="314"/>
    </row>
    <row r="61" spans="1:13" ht="15" x14ac:dyDescent="0.2">
      <c r="A61" s="264"/>
      <c r="B61" s="83" t="s">
        <v>56</v>
      </c>
      <c r="C61" s="75"/>
      <c r="D61" s="75"/>
      <c r="E61" s="91"/>
      <c r="F61" s="98">
        <v>23000</v>
      </c>
      <c r="G61" s="98"/>
      <c r="H61" s="253">
        <v>23000</v>
      </c>
      <c r="I61" s="253">
        <v>33720</v>
      </c>
      <c r="J61" s="256">
        <f>I61-H61</f>
        <v>10720</v>
      </c>
      <c r="K61" s="265">
        <v>34755</v>
      </c>
      <c r="L61" s="311">
        <f>K61-H61</f>
        <v>11755</v>
      </c>
      <c r="M61" s="312"/>
    </row>
    <row r="62" spans="1:13" x14ac:dyDescent="0.2">
      <c r="A62" s="264"/>
      <c r="B62" s="80"/>
      <c r="C62" s="75"/>
      <c r="D62" s="75"/>
      <c r="E62" s="91"/>
      <c r="F62" s="98"/>
      <c r="G62" s="98"/>
      <c r="H62" s="253"/>
      <c r="I62" s="253"/>
      <c r="J62" s="256"/>
      <c r="K62" s="265"/>
      <c r="L62" s="313"/>
      <c r="M62" s="314"/>
    </row>
    <row r="63" spans="1:13" ht="15" x14ac:dyDescent="0.25">
      <c r="A63" s="247"/>
      <c r="B63" s="82" t="s">
        <v>57</v>
      </c>
      <c r="E63" s="88"/>
      <c r="F63" s="94">
        <v>12250</v>
      </c>
      <c r="G63" s="94"/>
      <c r="H63" s="253">
        <v>12250</v>
      </c>
      <c r="I63" s="253">
        <v>990</v>
      </c>
      <c r="J63" s="256">
        <f>I63-H63</f>
        <v>-11260</v>
      </c>
      <c r="K63" s="258">
        <v>990</v>
      </c>
      <c r="L63" s="311">
        <f>K63-H63</f>
        <v>-11260</v>
      </c>
      <c r="M63" s="312"/>
    </row>
    <row r="64" spans="1:13" x14ac:dyDescent="0.2">
      <c r="A64" s="247"/>
      <c r="E64" s="88"/>
      <c r="F64" s="94"/>
      <c r="G64" s="94"/>
      <c r="H64" s="253"/>
      <c r="I64" s="253"/>
      <c r="J64" s="256"/>
      <c r="K64" s="258"/>
      <c r="L64" s="313"/>
      <c r="M64" s="314"/>
    </row>
    <row r="65" spans="1:13" ht="15" x14ac:dyDescent="0.25">
      <c r="A65" s="247"/>
      <c r="B65" s="82" t="s">
        <v>58</v>
      </c>
      <c r="E65" s="88"/>
      <c r="F65" s="94">
        <v>14250</v>
      </c>
      <c r="G65" s="94"/>
      <c r="H65" s="253">
        <v>14250</v>
      </c>
      <c r="I65" s="253">
        <f>14995+4090</f>
        <v>19085</v>
      </c>
      <c r="J65" s="256">
        <f>I65-H65</f>
        <v>4835</v>
      </c>
      <c r="K65" s="258">
        <f>4090+13405</f>
        <v>17495</v>
      </c>
      <c r="L65" s="311">
        <f>K65-H65</f>
        <v>3245</v>
      </c>
      <c r="M65" s="312"/>
    </row>
    <row r="66" spans="1:13" x14ac:dyDescent="0.2">
      <c r="A66" s="247"/>
      <c r="E66" s="88"/>
      <c r="F66" s="94"/>
      <c r="G66" s="94"/>
      <c r="H66" s="253"/>
      <c r="I66" s="253"/>
      <c r="J66" s="256"/>
      <c r="K66" s="258"/>
      <c r="L66" s="313"/>
      <c r="M66" s="314"/>
    </row>
    <row r="67" spans="1:13" ht="15" x14ac:dyDescent="0.25">
      <c r="A67" s="247"/>
      <c r="B67" s="82" t="s">
        <v>59</v>
      </c>
      <c r="E67" s="88"/>
      <c r="F67" s="94">
        <v>20000</v>
      </c>
      <c r="G67" s="94"/>
      <c r="H67" s="253">
        <f>G68+F67</f>
        <v>33504</v>
      </c>
      <c r="I67" s="253">
        <v>46610</v>
      </c>
      <c r="J67" s="256">
        <f>I67-H67</f>
        <v>13106</v>
      </c>
      <c r="K67" s="258">
        <v>40945</v>
      </c>
      <c r="L67" s="315">
        <f>K67-H67</f>
        <v>7441</v>
      </c>
      <c r="M67" s="316"/>
    </row>
    <row r="68" spans="1:13" ht="25.5" x14ac:dyDescent="0.25">
      <c r="A68" s="247"/>
      <c r="B68" s="82"/>
      <c r="E68" s="89" t="s">
        <v>92</v>
      </c>
      <c r="F68" s="94"/>
      <c r="G68" s="99">
        <v>13504</v>
      </c>
      <c r="H68" s="253"/>
      <c r="I68" s="253"/>
      <c r="J68" s="256"/>
      <c r="K68" s="258"/>
      <c r="L68" s="315"/>
      <c r="M68" s="316"/>
    </row>
    <row r="69" spans="1:13" ht="15" x14ac:dyDescent="0.25">
      <c r="A69" s="247"/>
      <c r="B69" s="82"/>
      <c r="E69" s="88"/>
      <c r="F69" s="94"/>
      <c r="G69" s="94"/>
      <c r="H69" s="253"/>
      <c r="I69" s="253"/>
      <c r="J69" s="256"/>
      <c r="K69" s="258"/>
      <c r="L69" s="313"/>
      <c r="M69" s="314"/>
    </row>
    <row r="70" spans="1:13" ht="15" x14ac:dyDescent="0.25">
      <c r="A70" s="247"/>
      <c r="B70" s="82" t="s">
        <v>60</v>
      </c>
      <c r="E70" s="88"/>
      <c r="F70" s="94">
        <v>52965</v>
      </c>
      <c r="G70" s="94"/>
      <c r="H70" s="253">
        <v>52965</v>
      </c>
      <c r="I70" s="253">
        <f>23876+31855</f>
        <v>55731</v>
      </c>
      <c r="J70" s="256">
        <f>I70-H70</f>
        <v>2766</v>
      </c>
      <c r="K70" s="258">
        <f>32180+32330</f>
        <v>64510</v>
      </c>
      <c r="L70" s="311">
        <f>K70-H70</f>
        <v>11545</v>
      </c>
      <c r="M70" s="312"/>
    </row>
    <row r="71" spans="1:13" x14ac:dyDescent="0.2">
      <c r="A71" s="247"/>
      <c r="E71" s="88"/>
      <c r="F71" s="94"/>
      <c r="G71" s="94"/>
      <c r="H71" s="253"/>
      <c r="I71" s="253"/>
      <c r="J71" s="256"/>
      <c r="K71" s="258"/>
      <c r="L71" s="313"/>
      <c r="M71" s="314"/>
    </row>
    <row r="72" spans="1:13" ht="15" x14ac:dyDescent="0.25">
      <c r="A72" s="247"/>
      <c r="B72" s="82" t="s">
        <v>61</v>
      </c>
      <c r="E72" s="88"/>
      <c r="F72" s="94">
        <f>76816+8721</f>
        <v>85537</v>
      </c>
      <c r="G72" s="94"/>
      <c r="H72" s="253">
        <f>SUM(G72:G74)+F72</f>
        <v>86422</v>
      </c>
      <c r="I72" s="253">
        <v>86422</v>
      </c>
      <c r="J72" s="271" t="s">
        <v>442</v>
      </c>
      <c r="K72" s="258"/>
      <c r="L72" s="313"/>
      <c r="M72" s="314"/>
    </row>
    <row r="73" spans="1:13" x14ac:dyDescent="0.2">
      <c r="A73" s="247"/>
      <c r="E73" s="89" t="s">
        <v>74</v>
      </c>
      <c r="F73" s="100"/>
      <c r="G73" s="100">
        <v>785</v>
      </c>
      <c r="H73" s="253"/>
      <c r="I73" s="253"/>
      <c r="J73" s="256"/>
      <c r="K73" s="258"/>
      <c r="L73" s="313"/>
      <c r="M73" s="314"/>
    </row>
    <row r="74" spans="1:13" x14ac:dyDescent="0.2">
      <c r="A74" s="247"/>
      <c r="E74" s="89" t="s">
        <v>75</v>
      </c>
      <c r="F74" s="100"/>
      <c r="G74" s="100">
        <v>100</v>
      </c>
      <c r="H74" s="253"/>
      <c r="I74" s="253"/>
      <c r="J74" s="256"/>
      <c r="K74" s="258"/>
      <c r="L74" s="313"/>
      <c r="M74" s="314"/>
    </row>
    <row r="75" spans="1:13" x14ac:dyDescent="0.2">
      <c r="A75" s="272"/>
      <c r="B75" s="273"/>
      <c r="C75" s="273"/>
      <c r="D75" s="273"/>
      <c r="E75" s="246"/>
      <c r="F75" s="274"/>
      <c r="G75" s="274"/>
      <c r="H75" s="274"/>
      <c r="I75" s="274"/>
      <c r="J75" s="275"/>
      <c r="K75" s="246"/>
      <c r="L75" s="322"/>
      <c r="M75" s="323"/>
    </row>
    <row r="76" spans="1:13" ht="15" customHeight="1" x14ac:dyDescent="0.2">
      <c r="A76" s="247"/>
      <c r="F76" s="31"/>
      <c r="G76" s="31"/>
      <c r="I76" s="276" t="s">
        <v>62</v>
      </c>
      <c r="J76" s="289">
        <f>SUM(J10:J75)</f>
        <v>34379.370000000003</v>
      </c>
      <c r="L76" s="317">
        <f>SUM(L11:M75)</f>
        <v>36436.01</v>
      </c>
      <c r="M76" s="318"/>
    </row>
    <row r="77" spans="1:13" x14ac:dyDescent="0.2">
      <c r="A77" s="247"/>
      <c r="F77" s="31"/>
      <c r="G77" s="31"/>
      <c r="I77" s="276" t="s">
        <v>63</v>
      </c>
      <c r="J77" s="289">
        <f>J76*0.15</f>
        <v>5156.9054999999998</v>
      </c>
      <c r="L77" s="319">
        <f>L76*0.15</f>
        <v>5465.4014999999999</v>
      </c>
      <c r="M77" s="312"/>
    </row>
    <row r="78" spans="1:13" ht="15" x14ac:dyDescent="0.25">
      <c r="A78" s="37"/>
      <c r="B78" s="38"/>
      <c r="C78" s="38"/>
      <c r="D78" s="38"/>
      <c r="E78" s="38"/>
      <c r="F78" s="38"/>
      <c r="G78" s="38"/>
      <c r="H78" s="273"/>
      <c r="I78" s="277" t="s">
        <v>64</v>
      </c>
      <c r="J78" s="278">
        <f>SUM(J76:J77)</f>
        <v>39536.275500000003</v>
      </c>
      <c r="K78" s="279"/>
      <c r="L78" s="320">
        <f>SUM(L76:M77)</f>
        <v>41901.411500000002</v>
      </c>
      <c r="M78" s="321"/>
    </row>
    <row r="79" spans="1:13" x14ac:dyDescent="0.2">
      <c r="A79" s="28"/>
      <c r="B79" s="28"/>
      <c r="C79" s="28"/>
      <c r="F79" s="28"/>
      <c r="G79" s="28"/>
    </row>
    <row r="80" spans="1:13" ht="15" customHeight="1" x14ac:dyDescent="0.2">
      <c r="A80" s="280"/>
      <c r="B80" s="280"/>
      <c r="C80" s="280"/>
      <c r="D80" s="281"/>
      <c r="E80" s="281"/>
    </row>
    <row r="81" spans="1:7" x14ac:dyDescent="0.2">
      <c r="B81" s="282"/>
      <c r="C81" s="282"/>
      <c r="F81" s="283"/>
      <c r="G81" s="283"/>
    </row>
    <row r="82" spans="1:7" x14ac:dyDescent="0.2">
      <c r="B82" s="282"/>
      <c r="C82" s="282"/>
      <c r="F82" s="283"/>
      <c r="G82" s="283"/>
    </row>
    <row r="83" spans="1:7" x14ac:dyDescent="0.2">
      <c r="B83" s="282"/>
      <c r="C83" s="282"/>
      <c r="F83" s="283"/>
      <c r="G83" s="283"/>
    </row>
    <row r="85" spans="1:7" x14ac:dyDescent="0.2">
      <c r="E85" s="31"/>
      <c r="F85" s="284"/>
      <c r="G85" s="284"/>
    </row>
    <row r="86" spans="1:7" ht="15" x14ac:dyDescent="0.25">
      <c r="B86" s="285"/>
      <c r="C86" s="285"/>
      <c r="E86" s="33"/>
      <c r="F86" s="34"/>
      <c r="G86" s="34"/>
    </row>
    <row r="88" spans="1:7" x14ac:dyDescent="0.2">
      <c r="A88" s="3"/>
    </row>
    <row r="90" spans="1:7" x14ac:dyDescent="0.2">
      <c r="A90" s="4"/>
    </row>
  </sheetData>
  <mergeCells count="72">
    <mergeCell ref="L39:M39"/>
    <mergeCell ref="L40:M40"/>
    <mergeCell ref="L46:M46"/>
    <mergeCell ref="L48:M48"/>
    <mergeCell ref="L38:M38"/>
    <mergeCell ref="L45:M45"/>
    <mergeCell ref="L47:M47"/>
    <mergeCell ref="L44:M44"/>
    <mergeCell ref="L42:M42"/>
    <mergeCell ref="L41:M41"/>
    <mergeCell ref="L11:M11"/>
    <mergeCell ref="L12:M12"/>
    <mergeCell ref="L14:M14"/>
    <mergeCell ref="L15:M15"/>
    <mergeCell ref="L16:M16"/>
    <mergeCell ref="L13:M13"/>
    <mergeCell ref="A7:K7"/>
    <mergeCell ref="L7:M7"/>
    <mergeCell ref="L8:M8"/>
    <mergeCell ref="L9:M9"/>
    <mergeCell ref="L10:M10"/>
    <mergeCell ref="L17:M17"/>
    <mergeCell ref="L20:M20"/>
    <mergeCell ref="L24:M24"/>
    <mergeCell ref="L30:M30"/>
    <mergeCell ref="L34:M34"/>
    <mergeCell ref="L18:M18"/>
    <mergeCell ref="L19:M19"/>
    <mergeCell ref="L21:M21"/>
    <mergeCell ref="L25:M25"/>
    <mergeCell ref="L29:M29"/>
    <mergeCell ref="L33:M33"/>
    <mergeCell ref="L22:M22"/>
    <mergeCell ref="L23:M23"/>
    <mergeCell ref="L32:M32"/>
    <mergeCell ref="L31:M31"/>
    <mergeCell ref="L50:M50"/>
    <mergeCell ref="L51:M51"/>
    <mergeCell ref="L54:M54"/>
    <mergeCell ref="L55:M55"/>
    <mergeCell ref="L61:M61"/>
    <mergeCell ref="L76:M76"/>
    <mergeCell ref="L77:M77"/>
    <mergeCell ref="L78:M78"/>
    <mergeCell ref="L65:M65"/>
    <mergeCell ref="L67:M67"/>
    <mergeCell ref="L70:M70"/>
    <mergeCell ref="L72:M72"/>
    <mergeCell ref="L75:M75"/>
    <mergeCell ref="L74:M74"/>
    <mergeCell ref="L64:M64"/>
    <mergeCell ref="L66:M66"/>
    <mergeCell ref="L69:M69"/>
    <mergeCell ref="L71:M71"/>
    <mergeCell ref="L73:M73"/>
    <mergeCell ref="L68:M68"/>
    <mergeCell ref="L63:M63"/>
    <mergeCell ref="L36:M36"/>
    <mergeCell ref="L37:M37"/>
    <mergeCell ref="L26:M26"/>
    <mergeCell ref="L27:M27"/>
    <mergeCell ref="L28:M28"/>
    <mergeCell ref="L35:M35"/>
    <mergeCell ref="L57:M57"/>
    <mergeCell ref="L58:M58"/>
    <mergeCell ref="L43:M43"/>
    <mergeCell ref="L60:M60"/>
    <mergeCell ref="L62:M62"/>
    <mergeCell ref="L59:M59"/>
    <mergeCell ref="L49:M49"/>
    <mergeCell ref="L53:M53"/>
    <mergeCell ref="L56:M56"/>
  </mergeCells>
  <pageMargins left="0.7" right="0.7" top="0.75" bottom="0.75" header="0.3" footer="0.3"/>
  <pageSetup scale="5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4D620-DA31-4375-8036-2ABF1FA671AA}">
  <sheetPr>
    <pageSetUpPr fitToPage="1"/>
  </sheetPr>
  <dimension ref="A1:L133"/>
  <sheetViews>
    <sheetView tabSelected="1" zoomScaleNormal="100" workbookViewId="0">
      <selection activeCell="J11" sqref="J11"/>
    </sheetView>
  </sheetViews>
  <sheetFormatPr defaultColWidth="9.140625" defaultRowHeight="15" outlineLevelCol="1" x14ac:dyDescent="0.25"/>
  <cols>
    <col min="2" max="2" width="33.5703125" customWidth="1"/>
    <col min="3" max="3" width="11" bestFit="1" customWidth="1"/>
    <col min="4" max="4" width="10.140625" customWidth="1"/>
    <col min="5" max="5" width="95.85546875" customWidth="1" outlineLevel="1"/>
    <col min="6" max="6" width="10.140625" customWidth="1"/>
    <col min="7" max="8" width="9.7109375" customWidth="1" outlineLevel="1"/>
    <col min="9" max="9" width="42.28515625" customWidth="1" outlineLevel="1"/>
    <col min="10" max="11" width="10.140625" customWidth="1"/>
  </cols>
  <sheetData>
    <row r="1" spans="1:11" ht="27" customHeight="1" thickBot="1" x14ac:dyDescent="0.3">
      <c r="A1" s="1" t="s">
        <v>305</v>
      </c>
      <c r="B1" s="106"/>
      <c r="C1" s="106"/>
      <c r="D1" s="1"/>
      <c r="E1" s="1"/>
      <c r="F1" s="1"/>
      <c r="G1" s="1"/>
      <c r="H1" s="106"/>
      <c r="I1" s="106"/>
      <c r="J1" s="106"/>
      <c r="K1" s="1"/>
    </row>
    <row r="2" spans="1:11" x14ac:dyDescent="0.25">
      <c r="A2" s="107"/>
      <c r="B2" s="107"/>
      <c r="C2" s="107"/>
      <c r="D2" s="107"/>
      <c r="E2" s="107"/>
      <c r="F2" s="107"/>
      <c r="G2" s="107"/>
      <c r="H2" s="107"/>
      <c r="I2" s="107"/>
      <c r="J2" s="107"/>
      <c r="K2" s="107"/>
    </row>
    <row r="3" spans="1:11" x14ac:dyDescent="0.25">
      <c r="A3" s="107"/>
      <c r="B3" s="107"/>
      <c r="C3" s="107"/>
      <c r="D3" s="107"/>
      <c r="E3" s="107"/>
      <c r="F3" s="108" t="s">
        <v>97</v>
      </c>
      <c r="G3" s="107"/>
      <c r="H3" s="107"/>
      <c r="I3" s="108"/>
      <c r="J3" s="109" t="s">
        <v>483</v>
      </c>
      <c r="K3" s="107"/>
    </row>
    <row r="4" spans="1:11" x14ac:dyDescent="0.25">
      <c r="A4" s="107"/>
      <c r="B4" s="107"/>
      <c r="C4" s="107"/>
      <c r="D4" s="107"/>
      <c r="E4" s="107"/>
      <c r="F4" s="108" t="s">
        <v>13</v>
      </c>
      <c r="G4" s="107"/>
      <c r="H4" s="107"/>
      <c r="I4" s="108"/>
      <c r="J4" s="110">
        <v>46213</v>
      </c>
      <c r="K4" s="107"/>
    </row>
    <row r="5" spans="1:11" x14ac:dyDescent="0.25">
      <c r="A5" s="107"/>
      <c r="B5" s="107"/>
      <c r="C5" s="107"/>
      <c r="D5" s="107"/>
      <c r="E5" s="107"/>
      <c r="F5" s="108" t="s">
        <v>98</v>
      </c>
      <c r="G5" s="107"/>
      <c r="H5" s="107"/>
      <c r="I5" s="108"/>
      <c r="J5" s="110">
        <v>46220</v>
      </c>
      <c r="K5" s="107"/>
    </row>
    <row r="6" spans="1:11" x14ac:dyDescent="0.25">
      <c r="A6" s="107"/>
      <c r="B6" s="107"/>
      <c r="C6" s="107"/>
      <c r="D6" s="107"/>
      <c r="E6" s="107"/>
      <c r="F6" s="107"/>
      <c r="G6" s="107"/>
      <c r="H6" s="107"/>
      <c r="I6" s="107"/>
      <c r="J6" s="107"/>
      <c r="K6" s="107"/>
    </row>
    <row r="7" spans="1:11" x14ac:dyDescent="0.25">
      <c r="A7" s="111" t="s">
        <v>99</v>
      </c>
      <c r="B7" s="112" t="s">
        <v>100</v>
      </c>
      <c r="C7" s="112" t="s">
        <v>101</v>
      </c>
      <c r="D7" s="112" t="s">
        <v>102</v>
      </c>
      <c r="E7" s="113" t="s">
        <v>103</v>
      </c>
      <c r="F7" s="114" t="s">
        <v>104</v>
      </c>
      <c r="G7" s="334" t="s">
        <v>105</v>
      </c>
      <c r="H7" s="335"/>
      <c r="I7" s="336"/>
      <c r="J7" s="115" t="s">
        <v>106</v>
      </c>
      <c r="K7" s="116" t="s">
        <v>107</v>
      </c>
    </row>
    <row r="8" spans="1:11" x14ac:dyDescent="0.25">
      <c r="A8" s="117" t="s">
        <v>108</v>
      </c>
      <c r="B8" s="118" t="s">
        <v>109</v>
      </c>
      <c r="C8" s="118" t="s">
        <v>110</v>
      </c>
      <c r="D8" s="117" t="s">
        <v>111</v>
      </c>
      <c r="E8" s="117" t="s">
        <v>111</v>
      </c>
      <c r="F8" s="119" t="s">
        <v>112</v>
      </c>
      <c r="G8" s="120" t="s">
        <v>12</v>
      </c>
      <c r="H8" s="121" t="s">
        <v>113</v>
      </c>
      <c r="I8" s="122" t="s">
        <v>113</v>
      </c>
      <c r="J8" s="123" t="s">
        <v>114</v>
      </c>
      <c r="K8" s="118" t="s">
        <v>43</v>
      </c>
    </row>
    <row r="9" spans="1:11" x14ac:dyDescent="0.25">
      <c r="A9" s="124" t="s">
        <v>115</v>
      </c>
      <c r="B9" s="125"/>
      <c r="C9" s="126" t="s">
        <v>116</v>
      </c>
      <c r="D9" s="126" t="s">
        <v>117</v>
      </c>
      <c r="E9" s="124" t="s">
        <v>117</v>
      </c>
      <c r="F9" s="127" t="s">
        <v>116</v>
      </c>
      <c r="G9" s="128" t="s">
        <v>118</v>
      </c>
      <c r="H9" s="124" t="s">
        <v>119</v>
      </c>
      <c r="I9" s="129" t="s">
        <v>14</v>
      </c>
      <c r="J9" s="130" t="s">
        <v>120</v>
      </c>
      <c r="K9" s="126"/>
    </row>
    <row r="10" spans="1:11" x14ac:dyDescent="0.25">
      <c r="A10" s="131"/>
      <c r="B10" s="125"/>
      <c r="C10" s="126" t="s">
        <v>15</v>
      </c>
      <c r="D10" s="126" t="s">
        <v>15</v>
      </c>
      <c r="E10" s="124" t="s">
        <v>14</v>
      </c>
      <c r="F10" s="127" t="s">
        <v>15</v>
      </c>
      <c r="G10" s="128" t="s">
        <v>304</v>
      </c>
      <c r="H10" s="126" t="s">
        <v>121</v>
      </c>
      <c r="I10" s="129"/>
      <c r="J10" s="130" t="s">
        <v>304</v>
      </c>
      <c r="K10" s="126"/>
    </row>
    <row r="11" spans="1:11" x14ac:dyDescent="0.25">
      <c r="A11" s="132"/>
      <c r="B11" s="133"/>
      <c r="C11" s="133"/>
      <c r="D11" s="133"/>
      <c r="E11" s="132"/>
      <c r="F11" s="134"/>
      <c r="G11" s="135"/>
      <c r="H11" s="133"/>
      <c r="I11" s="136"/>
      <c r="J11" s="137"/>
      <c r="K11" s="133"/>
    </row>
    <row r="12" spans="1:11" x14ac:dyDescent="0.25">
      <c r="A12" s="138" t="s">
        <v>122</v>
      </c>
      <c r="B12" s="139" t="s">
        <v>123</v>
      </c>
      <c r="C12" s="140"/>
      <c r="D12" s="141"/>
      <c r="E12" s="142"/>
      <c r="F12" s="143"/>
      <c r="G12" s="144"/>
      <c r="H12" s="141"/>
      <c r="I12" s="145"/>
      <c r="J12" s="146"/>
      <c r="K12" s="141"/>
    </row>
    <row r="13" spans="1:11" x14ac:dyDescent="0.25">
      <c r="A13" s="147" t="s">
        <v>124</v>
      </c>
      <c r="B13" s="148" t="s">
        <v>125</v>
      </c>
      <c r="C13" s="149">
        <v>59500</v>
      </c>
      <c r="D13" s="149">
        <v>0</v>
      </c>
      <c r="E13" s="150"/>
      <c r="F13" s="151">
        <f>C13+D13</f>
        <v>59500</v>
      </c>
      <c r="G13" s="152">
        <v>41837.449999999997</v>
      </c>
      <c r="H13" s="149"/>
      <c r="I13" s="153"/>
      <c r="J13" s="154">
        <f>G13+H13</f>
        <v>41837.449999999997</v>
      </c>
      <c r="K13" s="149">
        <f>F13-(J13)</f>
        <v>17662.550000000003</v>
      </c>
    </row>
    <row r="14" spans="1:11" x14ac:dyDescent="0.25">
      <c r="A14" s="147" t="s">
        <v>126</v>
      </c>
      <c r="B14" s="148" t="s">
        <v>127</v>
      </c>
      <c r="C14" s="149">
        <v>1000</v>
      </c>
      <c r="D14" s="149">
        <v>0</v>
      </c>
      <c r="E14" s="150"/>
      <c r="F14" s="151">
        <f t="shared" ref="F14:F29" si="0">C14+D14</f>
        <v>1000</v>
      </c>
      <c r="G14" s="152">
        <v>8806.7800000000007</v>
      </c>
      <c r="H14" s="149"/>
      <c r="I14" s="153"/>
      <c r="J14" s="154">
        <f t="shared" ref="J14:J29" si="1">G14+H14</f>
        <v>8806.7800000000007</v>
      </c>
      <c r="K14" s="231">
        <f t="shared" ref="K14:K29" si="2">F14-(J14)</f>
        <v>-7806.7800000000007</v>
      </c>
    </row>
    <row r="15" spans="1:11" x14ac:dyDescent="0.25">
      <c r="A15" s="147" t="s">
        <v>128</v>
      </c>
      <c r="B15" s="148" t="s">
        <v>129</v>
      </c>
      <c r="C15" s="149">
        <v>3537</v>
      </c>
      <c r="D15" s="149">
        <v>0</v>
      </c>
      <c r="E15" s="150"/>
      <c r="F15" s="151">
        <f t="shared" si="0"/>
        <v>3537</v>
      </c>
      <c r="G15" s="152">
        <v>5336</v>
      </c>
      <c r="H15" s="149"/>
      <c r="I15" s="153"/>
      <c r="J15" s="154">
        <f t="shared" si="1"/>
        <v>5336</v>
      </c>
      <c r="K15" s="231">
        <f t="shared" si="2"/>
        <v>-1799</v>
      </c>
    </row>
    <row r="16" spans="1:11" x14ac:dyDescent="0.25">
      <c r="A16" s="147" t="s">
        <v>130</v>
      </c>
      <c r="B16" s="148" t="s">
        <v>131</v>
      </c>
      <c r="C16" s="149">
        <v>3047</v>
      </c>
      <c r="D16" s="149">
        <v>0</v>
      </c>
      <c r="E16" s="150"/>
      <c r="F16" s="151">
        <f t="shared" si="0"/>
        <v>3047</v>
      </c>
      <c r="G16" s="152">
        <v>6206.35</v>
      </c>
      <c r="H16" s="149"/>
      <c r="I16" s="153"/>
      <c r="J16" s="154">
        <f t="shared" si="1"/>
        <v>6206.35</v>
      </c>
      <c r="K16" s="231">
        <f t="shared" si="2"/>
        <v>-3159.3500000000004</v>
      </c>
    </row>
    <row r="17" spans="1:12" x14ac:dyDescent="0.25">
      <c r="A17" s="147" t="s">
        <v>415</v>
      </c>
      <c r="B17" s="148" t="s">
        <v>416</v>
      </c>
      <c r="C17" s="149">
        <v>200</v>
      </c>
      <c r="D17" s="149">
        <v>0</v>
      </c>
      <c r="E17" s="150"/>
      <c r="F17" s="151">
        <f t="shared" ref="F17" si="3">C17+D17</f>
        <v>200</v>
      </c>
      <c r="G17" s="152">
        <v>0</v>
      </c>
      <c r="H17" s="149"/>
      <c r="I17" s="153"/>
      <c r="J17" s="154">
        <f t="shared" ref="J17" si="4">G17+H17</f>
        <v>0</v>
      </c>
      <c r="K17" s="149">
        <f t="shared" ref="K17" si="5">F17-(J17)</f>
        <v>200</v>
      </c>
    </row>
    <row r="18" spans="1:12" x14ac:dyDescent="0.25">
      <c r="A18" s="147" t="s">
        <v>132</v>
      </c>
      <c r="B18" s="148" t="s">
        <v>133</v>
      </c>
      <c r="C18" s="149">
        <v>2448</v>
      </c>
      <c r="D18" s="149">
        <v>0</v>
      </c>
      <c r="E18" s="150"/>
      <c r="F18" s="151">
        <f t="shared" si="0"/>
        <v>2448</v>
      </c>
      <c r="G18" s="152">
        <v>3329</v>
      </c>
      <c r="H18" s="149"/>
      <c r="I18" s="153"/>
      <c r="J18" s="154">
        <f t="shared" si="1"/>
        <v>3329</v>
      </c>
      <c r="K18" s="231">
        <f t="shared" si="2"/>
        <v>-881</v>
      </c>
    </row>
    <row r="19" spans="1:12" x14ac:dyDescent="0.25">
      <c r="A19" s="147" t="s">
        <v>134</v>
      </c>
      <c r="B19" s="148" t="s">
        <v>135</v>
      </c>
      <c r="C19" s="149">
        <v>4709</v>
      </c>
      <c r="D19" s="149">
        <v>0</v>
      </c>
      <c r="E19" s="150"/>
      <c r="F19" s="151">
        <f t="shared" si="0"/>
        <v>4709</v>
      </c>
      <c r="G19" s="152">
        <v>5545</v>
      </c>
      <c r="H19" s="149"/>
      <c r="I19" s="153"/>
      <c r="J19" s="154">
        <f t="shared" si="1"/>
        <v>5545</v>
      </c>
      <c r="K19" s="231">
        <f t="shared" si="2"/>
        <v>-836</v>
      </c>
    </row>
    <row r="20" spans="1:12" x14ac:dyDescent="0.25">
      <c r="A20" s="147" t="s">
        <v>136</v>
      </c>
      <c r="B20" s="148" t="s">
        <v>137</v>
      </c>
      <c r="C20" s="149">
        <v>250</v>
      </c>
      <c r="D20" s="149">
        <v>0</v>
      </c>
      <c r="E20" s="150"/>
      <c r="F20" s="151">
        <f t="shared" si="0"/>
        <v>250</v>
      </c>
      <c r="G20" s="152">
        <v>0</v>
      </c>
      <c r="H20" s="149"/>
      <c r="I20" s="153"/>
      <c r="J20" s="154">
        <f t="shared" si="1"/>
        <v>0</v>
      </c>
      <c r="K20" s="149">
        <f t="shared" si="2"/>
        <v>250</v>
      </c>
    </row>
    <row r="21" spans="1:12" x14ac:dyDescent="0.25">
      <c r="A21" s="147" t="s">
        <v>335</v>
      </c>
      <c r="B21" s="148" t="s">
        <v>336</v>
      </c>
      <c r="C21" s="149">
        <v>500</v>
      </c>
      <c r="D21" s="149">
        <v>0</v>
      </c>
      <c r="E21" s="150"/>
      <c r="F21" s="151">
        <f t="shared" ref="F21" si="6">C21+D21</f>
        <v>500</v>
      </c>
      <c r="G21" s="152">
        <v>1189.33</v>
      </c>
      <c r="H21" s="149"/>
      <c r="I21" s="153"/>
      <c r="J21" s="154">
        <f t="shared" ref="J21" si="7">G21+H21</f>
        <v>1189.33</v>
      </c>
      <c r="K21" s="149">
        <f t="shared" ref="K21" si="8">F21-(J21)</f>
        <v>-689.32999999999993</v>
      </c>
    </row>
    <row r="22" spans="1:12" x14ac:dyDescent="0.25">
      <c r="A22" s="147" t="s">
        <v>138</v>
      </c>
      <c r="B22" s="148" t="s">
        <v>139</v>
      </c>
      <c r="C22" s="149">
        <v>6120</v>
      </c>
      <c r="D22" s="149">
        <v>0</v>
      </c>
      <c r="E22" s="150"/>
      <c r="F22" s="151">
        <f t="shared" si="0"/>
        <v>6120</v>
      </c>
      <c r="G22" s="152">
        <v>3440.81</v>
      </c>
      <c r="H22" s="149"/>
      <c r="I22" s="153"/>
      <c r="J22" s="154">
        <f t="shared" si="1"/>
        <v>3440.81</v>
      </c>
      <c r="K22" s="149">
        <f t="shared" si="2"/>
        <v>2679.19</v>
      </c>
    </row>
    <row r="23" spans="1:12" x14ac:dyDescent="0.25">
      <c r="A23" s="147" t="s">
        <v>140</v>
      </c>
      <c r="B23" s="148" t="s">
        <v>141</v>
      </c>
      <c r="C23" s="149">
        <v>1250</v>
      </c>
      <c r="D23" s="149">
        <v>0</v>
      </c>
      <c r="E23" s="150"/>
      <c r="F23" s="151">
        <f t="shared" si="0"/>
        <v>1250</v>
      </c>
      <c r="G23" s="152">
        <v>1250</v>
      </c>
      <c r="H23" s="149"/>
      <c r="I23" s="153"/>
      <c r="J23" s="154">
        <f t="shared" si="1"/>
        <v>1250</v>
      </c>
      <c r="K23" s="149">
        <f t="shared" si="2"/>
        <v>0</v>
      </c>
    </row>
    <row r="24" spans="1:12" x14ac:dyDescent="0.25">
      <c r="A24" s="147" t="s">
        <v>337</v>
      </c>
      <c r="B24" s="148" t="s">
        <v>338</v>
      </c>
      <c r="C24" s="149">
        <v>0</v>
      </c>
      <c r="D24" s="149">
        <v>0</v>
      </c>
      <c r="E24" s="150"/>
      <c r="F24" s="151">
        <f t="shared" ref="F24" si="9">C24+D24</f>
        <v>0</v>
      </c>
      <c r="G24" s="152">
        <v>0</v>
      </c>
      <c r="H24" s="149"/>
      <c r="I24" s="153"/>
      <c r="J24" s="154">
        <f t="shared" ref="J24" si="10">G24+H24</f>
        <v>0</v>
      </c>
      <c r="K24" s="149">
        <f t="shared" ref="K24" si="11">F24-(J24)</f>
        <v>0</v>
      </c>
    </row>
    <row r="25" spans="1:12" x14ac:dyDescent="0.25">
      <c r="A25" s="147" t="s">
        <v>339</v>
      </c>
      <c r="B25" s="148" t="s">
        <v>340</v>
      </c>
      <c r="C25" s="149">
        <v>1500</v>
      </c>
      <c r="D25" s="149">
        <v>0</v>
      </c>
      <c r="E25" s="150"/>
      <c r="F25" s="151">
        <f t="shared" ref="F25" si="12">C25+D25</f>
        <v>1500</v>
      </c>
      <c r="G25" s="152">
        <v>0</v>
      </c>
      <c r="H25" s="149"/>
      <c r="I25" s="153"/>
      <c r="J25" s="154">
        <f t="shared" ref="J25" si="13">G25+H25</f>
        <v>0</v>
      </c>
      <c r="K25" s="149">
        <f t="shared" ref="K25" si="14">F25-(J25)</f>
        <v>1500</v>
      </c>
    </row>
    <row r="26" spans="1:12" x14ac:dyDescent="0.25">
      <c r="A26" s="147" t="s">
        <v>142</v>
      </c>
      <c r="B26" s="148" t="s">
        <v>143</v>
      </c>
      <c r="C26" s="149">
        <v>2200</v>
      </c>
      <c r="D26" s="149">
        <v>0</v>
      </c>
      <c r="E26" s="150"/>
      <c r="F26" s="151">
        <f t="shared" si="0"/>
        <v>2200</v>
      </c>
      <c r="G26" s="152">
        <v>822.16</v>
      </c>
      <c r="H26" s="149"/>
      <c r="I26" s="153"/>
      <c r="J26" s="154">
        <f t="shared" si="1"/>
        <v>822.16</v>
      </c>
      <c r="K26" s="149">
        <f t="shared" si="2"/>
        <v>1377.8400000000001</v>
      </c>
    </row>
    <row r="27" spans="1:12" x14ac:dyDescent="0.25">
      <c r="A27" s="147" t="s">
        <v>144</v>
      </c>
      <c r="B27" s="148" t="s">
        <v>145</v>
      </c>
      <c r="C27" s="149">
        <v>23820</v>
      </c>
      <c r="D27" s="149">
        <v>0</v>
      </c>
      <c r="E27" s="150"/>
      <c r="F27" s="151">
        <f t="shared" si="0"/>
        <v>23820</v>
      </c>
      <c r="G27" s="152">
        <v>15708.22</v>
      </c>
      <c r="H27" s="149"/>
      <c r="I27" s="153"/>
      <c r="J27" s="154">
        <f t="shared" si="1"/>
        <v>15708.22</v>
      </c>
      <c r="K27" s="149">
        <f t="shared" si="2"/>
        <v>8111.7800000000007</v>
      </c>
    </row>
    <row r="28" spans="1:12" x14ac:dyDescent="0.25">
      <c r="A28" s="147" t="s">
        <v>146</v>
      </c>
      <c r="B28" s="148" t="s">
        <v>147</v>
      </c>
      <c r="C28" s="149">
        <v>10200</v>
      </c>
      <c r="D28" s="149">
        <v>0</v>
      </c>
      <c r="E28" s="150"/>
      <c r="F28" s="151">
        <f t="shared" si="0"/>
        <v>10200</v>
      </c>
      <c r="G28" s="152">
        <v>10200</v>
      </c>
      <c r="H28" s="149"/>
      <c r="I28" s="153"/>
      <c r="J28" s="154">
        <f t="shared" si="1"/>
        <v>10200</v>
      </c>
      <c r="K28" s="149">
        <f t="shared" si="2"/>
        <v>0</v>
      </c>
    </row>
    <row r="29" spans="1:12" x14ac:dyDescent="0.25">
      <c r="A29" s="147" t="s">
        <v>148</v>
      </c>
      <c r="B29" s="148" t="s">
        <v>149</v>
      </c>
      <c r="C29" s="149">
        <v>2000</v>
      </c>
      <c r="D29" s="149">
        <v>0</v>
      </c>
      <c r="E29" s="150"/>
      <c r="F29" s="151">
        <f t="shared" si="0"/>
        <v>2000</v>
      </c>
      <c r="G29" s="152">
        <v>1582.36</v>
      </c>
      <c r="H29" s="149"/>
      <c r="I29" s="153"/>
      <c r="J29" s="154">
        <f t="shared" si="1"/>
        <v>1582.36</v>
      </c>
      <c r="K29" s="149">
        <f t="shared" si="2"/>
        <v>417.6400000000001</v>
      </c>
    </row>
    <row r="30" spans="1:12" x14ac:dyDescent="0.25">
      <c r="A30" s="147" t="s">
        <v>341</v>
      </c>
      <c r="B30" s="148" t="s">
        <v>342</v>
      </c>
      <c r="C30" s="149">
        <v>1500</v>
      </c>
      <c r="D30" s="149">
        <v>0</v>
      </c>
      <c r="E30" s="150"/>
      <c r="F30" s="151">
        <f t="shared" ref="F30" si="15">C30+D30</f>
        <v>1500</v>
      </c>
      <c r="G30" s="152">
        <v>8398.4</v>
      </c>
      <c r="H30" s="149"/>
      <c r="I30" s="153"/>
      <c r="J30" s="154">
        <f t="shared" ref="J30" si="16">G30+H30</f>
        <v>8398.4</v>
      </c>
      <c r="K30" s="231">
        <f t="shared" ref="K30" si="17">F30-(J30)</f>
        <v>-6898.4</v>
      </c>
    </row>
    <row r="31" spans="1:12" x14ac:dyDescent="0.25">
      <c r="A31" s="138" t="s">
        <v>150</v>
      </c>
      <c r="B31" s="139" t="s">
        <v>151</v>
      </c>
      <c r="C31" s="141"/>
      <c r="D31" s="141"/>
      <c r="E31" s="142"/>
      <c r="F31" s="143"/>
      <c r="G31" s="144"/>
      <c r="H31" s="141"/>
      <c r="I31" s="145"/>
      <c r="J31" s="154"/>
      <c r="K31" s="141"/>
    </row>
    <row r="32" spans="1:12" x14ac:dyDescent="0.25">
      <c r="A32" s="138" t="s">
        <v>152</v>
      </c>
      <c r="B32" s="139" t="s">
        <v>153</v>
      </c>
      <c r="C32" s="141"/>
      <c r="D32" s="141"/>
      <c r="E32" s="142"/>
      <c r="F32" s="143"/>
      <c r="G32" s="144"/>
      <c r="H32" s="141"/>
      <c r="I32" s="145"/>
      <c r="J32" s="154"/>
      <c r="K32" s="141"/>
      <c r="L32" s="236"/>
    </row>
    <row r="33" spans="1:11" x14ac:dyDescent="0.25">
      <c r="A33" s="147" t="s">
        <v>154</v>
      </c>
      <c r="B33" s="148" t="s">
        <v>155</v>
      </c>
      <c r="C33" s="149">
        <v>72000</v>
      </c>
      <c r="D33" s="149">
        <v>-13504</v>
      </c>
      <c r="E33" s="150" t="s">
        <v>441</v>
      </c>
      <c r="F33" s="151">
        <f>C33+D33</f>
        <v>58496</v>
      </c>
      <c r="G33" s="152">
        <v>58495.34</v>
      </c>
      <c r="H33" s="149"/>
      <c r="I33" s="153"/>
      <c r="J33" s="154">
        <f>G33+H33</f>
        <v>58495.34</v>
      </c>
      <c r="K33" s="149">
        <f t="shared" ref="K33:K86" si="18">F33-(J33)</f>
        <v>0.66000000000349246</v>
      </c>
    </row>
    <row r="34" spans="1:11" x14ac:dyDescent="0.25">
      <c r="A34" s="147" t="s">
        <v>156</v>
      </c>
      <c r="B34" s="148" t="s">
        <v>157</v>
      </c>
      <c r="C34" s="149">
        <v>22909</v>
      </c>
      <c r="D34" s="149">
        <v>0</v>
      </c>
      <c r="E34" s="150"/>
      <c r="F34" s="151">
        <f t="shared" ref="F34:F35" si="19">C34+D34</f>
        <v>22909</v>
      </c>
      <c r="G34" s="152">
        <v>24752.41</v>
      </c>
      <c r="H34" s="149"/>
      <c r="I34" s="153"/>
      <c r="J34" s="154">
        <f t="shared" ref="J34:J35" si="20">G34+H34</f>
        <v>24752.41</v>
      </c>
      <c r="K34" s="231">
        <f t="shared" si="18"/>
        <v>-1843.4099999999999</v>
      </c>
    </row>
    <row r="35" spans="1:11" x14ac:dyDescent="0.25">
      <c r="A35" s="147" t="s">
        <v>158</v>
      </c>
      <c r="B35" s="148" t="s">
        <v>159</v>
      </c>
      <c r="C35" s="149">
        <v>2500</v>
      </c>
      <c r="D35" s="149">
        <v>-2500</v>
      </c>
      <c r="E35" s="150" t="s">
        <v>445</v>
      </c>
      <c r="F35" s="151">
        <f t="shared" si="19"/>
        <v>0</v>
      </c>
      <c r="G35" s="152"/>
      <c r="H35" s="149"/>
      <c r="I35" s="153"/>
      <c r="J35" s="154">
        <f t="shared" si="20"/>
        <v>0</v>
      </c>
      <c r="K35" s="149">
        <f t="shared" si="18"/>
        <v>0</v>
      </c>
    </row>
    <row r="36" spans="1:11" x14ac:dyDescent="0.25">
      <c r="A36" s="138" t="s">
        <v>160</v>
      </c>
      <c r="B36" s="139" t="s">
        <v>161</v>
      </c>
      <c r="C36" s="141"/>
      <c r="D36" s="141"/>
      <c r="E36" s="142"/>
      <c r="F36" s="143"/>
      <c r="G36" s="144"/>
      <c r="H36" s="141"/>
      <c r="I36" s="155"/>
      <c r="J36" s="154"/>
      <c r="K36" s="141"/>
    </row>
    <row r="37" spans="1:11" x14ac:dyDescent="0.25">
      <c r="A37" s="147" t="s">
        <v>162</v>
      </c>
      <c r="B37" s="148" t="s">
        <v>163</v>
      </c>
      <c r="C37" s="149">
        <v>600</v>
      </c>
      <c r="D37" s="149">
        <v>0</v>
      </c>
      <c r="E37" s="150"/>
      <c r="F37" s="151">
        <f>C37+D37</f>
        <v>600</v>
      </c>
      <c r="G37" s="152">
        <v>0</v>
      </c>
      <c r="H37" s="149"/>
      <c r="I37" s="156"/>
      <c r="J37" s="154">
        <f>G37+H37</f>
        <v>0</v>
      </c>
      <c r="K37" s="149">
        <f t="shared" si="18"/>
        <v>600</v>
      </c>
    </row>
    <row r="38" spans="1:11" x14ac:dyDescent="0.25">
      <c r="A38" s="147" t="s">
        <v>343</v>
      </c>
      <c r="B38" s="148" t="s">
        <v>344</v>
      </c>
      <c r="C38" s="149">
        <v>77969</v>
      </c>
      <c r="D38" s="149">
        <v>2500</v>
      </c>
      <c r="E38" s="150" t="s">
        <v>446</v>
      </c>
      <c r="F38" s="151">
        <f>C38+D38</f>
        <v>80469</v>
      </c>
      <c r="G38" s="152">
        <v>66051.740000000005</v>
      </c>
      <c r="H38" s="149"/>
      <c r="I38" s="156"/>
      <c r="J38" s="154">
        <f>G38+H38</f>
        <v>66051.740000000005</v>
      </c>
      <c r="K38" s="149">
        <f t="shared" si="18"/>
        <v>14417.259999999995</v>
      </c>
    </row>
    <row r="39" spans="1:11" x14ac:dyDescent="0.25">
      <c r="A39" s="138" t="s">
        <v>164</v>
      </c>
      <c r="B39" s="139" t="s">
        <v>165</v>
      </c>
      <c r="C39" s="141"/>
      <c r="D39" s="141"/>
      <c r="E39" s="142"/>
      <c r="F39" s="143"/>
      <c r="G39" s="144"/>
      <c r="H39" s="141"/>
      <c r="I39" s="155"/>
      <c r="J39" s="154"/>
      <c r="K39" s="141"/>
    </row>
    <row r="40" spans="1:11" x14ac:dyDescent="0.25">
      <c r="A40" s="147" t="s">
        <v>166</v>
      </c>
      <c r="B40" s="148" t="s">
        <v>167</v>
      </c>
      <c r="C40" s="149">
        <v>8721</v>
      </c>
      <c r="D40" s="149">
        <v>0</v>
      </c>
      <c r="E40" s="150"/>
      <c r="F40" s="151">
        <f>C40+D40</f>
        <v>8721</v>
      </c>
      <c r="G40" s="152">
        <v>11267.8</v>
      </c>
      <c r="H40" s="149"/>
      <c r="I40" s="156"/>
      <c r="J40" s="154">
        <f>G40+H40</f>
        <v>11267.8</v>
      </c>
      <c r="K40" s="231">
        <f t="shared" si="18"/>
        <v>-2546.7999999999993</v>
      </c>
    </row>
    <row r="41" spans="1:11" x14ac:dyDescent="0.25">
      <c r="A41" s="147" t="s">
        <v>168</v>
      </c>
      <c r="B41" s="148" t="s">
        <v>169</v>
      </c>
      <c r="C41" s="149">
        <v>0</v>
      </c>
      <c r="D41" s="149">
        <v>0</v>
      </c>
      <c r="E41" s="150"/>
      <c r="F41" s="151">
        <f t="shared" ref="F41:F42" si="21">C41+D41</f>
        <v>0</v>
      </c>
      <c r="G41" s="152">
        <v>0</v>
      </c>
      <c r="H41" s="149"/>
      <c r="I41" s="156"/>
      <c r="J41" s="154">
        <f t="shared" ref="J41:J42" si="22">G41+H41</f>
        <v>0</v>
      </c>
      <c r="K41" s="149">
        <f t="shared" si="18"/>
        <v>0</v>
      </c>
    </row>
    <row r="42" spans="1:11" x14ac:dyDescent="0.25">
      <c r="A42" s="147" t="s">
        <v>345</v>
      </c>
      <c r="B42" s="148" t="s">
        <v>346</v>
      </c>
      <c r="C42" s="149">
        <v>2430</v>
      </c>
      <c r="D42" s="149">
        <v>0</v>
      </c>
      <c r="E42" s="150"/>
      <c r="F42" s="151">
        <f t="shared" si="21"/>
        <v>2430</v>
      </c>
      <c r="G42" s="152">
        <v>0</v>
      </c>
      <c r="H42" s="149"/>
      <c r="I42" s="156"/>
      <c r="J42" s="154">
        <f t="shared" si="22"/>
        <v>0</v>
      </c>
      <c r="K42" s="149">
        <f t="shared" si="18"/>
        <v>2430</v>
      </c>
    </row>
    <row r="43" spans="1:11" x14ac:dyDescent="0.25">
      <c r="A43" s="138" t="s">
        <v>170</v>
      </c>
      <c r="B43" s="139" t="s">
        <v>171</v>
      </c>
      <c r="C43" s="141"/>
      <c r="D43" s="141"/>
      <c r="E43" s="142"/>
      <c r="F43" s="143"/>
      <c r="G43" s="144"/>
      <c r="H43" s="141"/>
      <c r="I43" s="155"/>
      <c r="J43" s="154"/>
      <c r="K43" s="141"/>
    </row>
    <row r="44" spans="1:11" x14ac:dyDescent="0.25">
      <c r="A44" s="147" t="s">
        <v>172</v>
      </c>
      <c r="B44" s="148" t="s">
        <v>173</v>
      </c>
      <c r="C44" s="149">
        <v>138791</v>
      </c>
      <c r="D44" s="149">
        <v>885</v>
      </c>
      <c r="E44" s="150" t="s">
        <v>432</v>
      </c>
      <c r="F44" s="151">
        <f>C44+D44</f>
        <v>139676</v>
      </c>
      <c r="G44" s="152">
        <v>152082.39000000001</v>
      </c>
      <c r="H44" s="149"/>
      <c r="I44" s="156"/>
      <c r="J44" s="154">
        <f>G44+H44</f>
        <v>152082.39000000001</v>
      </c>
      <c r="K44" s="231">
        <f t="shared" si="18"/>
        <v>-12406.390000000014</v>
      </c>
    </row>
    <row r="45" spans="1:11" x14ac:dyDescent="0.25">
      <c r="A45" s="147" t="s">
        <v>174</v>
      </c>
      <c r="B45" s="148" t="s">
        <v>175</v>
      </c>
      <c r="C45" s="149">
        <v>87878</v>
      </c>
      <c r="D45" s="149">
        <f>-1972-10060.5</f>
        <v>-12032.5</v>
      </c>
      <c r="E45" s="150" t="s">
        <v>467</v>
      </c>
      <c r="F45" s="151">
        <f t="shared" ref="F45:F48" si="23">C45+D45</f>
        <v>75845.5</v>
      </c>
      <c r="G45" s="152">
        <v>75002.73</v>
      </c>
      <c r="H45" s="149"/>
      <c r="I45" s="156"/>
      <c r="J45" s="154">
        <f t="shared" ref="J45:J48" si="24">G45+H45</f>
        <v>75002.73</v>
      </c>
      <c r="K45" s="149">
        <f t="shared" si="18"/>
        <v>842.77000000000407</v>
      </c>
    </row>
    <row r="46" spans="1:11" x14ac:dyDescent="0.25">
      <c r="A46" s="147" t="s">
        <v>176</v>
      </c>
      <c r="B46" s="148" t="s">
        <v>177</v>
      </c>
      <c r="C46" s="149">
        <v>3000</v>
      </c>
      <c r="D46" s="149">
        <v>0</v>
      </c>
      <c r="E46" s="150"/>
      <c r="F46" s="151">
        <f t="shared" si="23"/>
        <v>3000</v>
      </c>
      <c r="G46" s="152">
        <v>5576.72</v>
      </c>
      <c r="H46" s="149"/>
      <c r="I46" s="156"/>
      <c r="J46" s="154">
        <f t="shared" si="24"/>
        <v>5576.72</v>
      </c>
      <c r="K46" s="231">
        <f t="shared" si="18"/>
        <v>-2576.7200000000003</v>
      </c>
    </row>
    <row r="47" spans="1:11" x14ac:dyDescent="0.25">
      <c r="A47" s="147" t="s">
        <v>178</v>
      </c>
      <c r="B47" s="148" t="s">
        <v>179</v>
      </c>
      <c r="C47" s="149">
        <v>61585</v>
      </c>
      <c r="D47" s="149">
        <v>721</v>
      </c>
      <c r="E47" s="150" t="s">
        <v>430</v>
      </c>
      <c r="F47" s="151">
        <f t="shared" si="23"/>
        <v>62306</v>
      </c>
      <c r="G47" s="152">
        <v>40446.47</v>
      </c>
      <c r="H47" s="149"/>
      <c r="I47" s="156"/>
      <c r="J47" s="154">
        <f t="shared" si="24"/>
        <v>40446.47</v>
      </c>
      <c r="K47" s="149">
        <f t="shared" si="18"/>
        <v>21859.53</v>
      </c>
    </row>
    <row r="48" spans="1:11" x14ac:dyDescent="0.25">
      <c r="A48" s="147" t="s">
        <v>180</v>
      </c>
      <c r="B48" s="148" t="s">
        <v>181</v>
      </c>
      <c r="C48" s="149">
        <v>32365</v>
      </c>
      <c r="D48" s="149">
        <f>462+2200+2906</f>
        <v>5568</v>
      </c>
      <c r="E48" s="150" t="s">
        <v>466</v>
      </c>
      <c r="F48" s="151">
        <f t="shared" si="23"/>
        <v>37933</v>
      </c>
      <c r="G48" s="152">
        <v>37932.910000000003</v>
      </c>
      <c r="H48" s="149"/>
      <c r="I48" s="156"/>
      <c r="J48" s="154">
        <f t="shared" si="24"/>
        <v>37932.910000000003</v>
      </c>
      <c r="K48" s="149">
        <f t="shared" si="18"/>
        <v>8.999999999650754E-2</v>
      </c>
    </row>
    <row r="49" spans="1:11" x14ac:dyDescent="0.25">
      <c r="A49" s="138" t="s">
        <v>182</v>
      </c>
      <c r="B49" s="139" t="s">
        <v>183</v>
      </c>
      <c r="C49" s="141"/>
      <c r="D49" s="141"/>
      <c r="E49" s="142"/>
      <c r="F49" s="143"/>
      <c r="G49" s="144"/>
      <c r="H49" s="141"/>
      <c r="I49" s="155"/>
      <c r="J49" s="154"/>
      <c r="K49" s="141"/>
    </row>
    <row r="50" spans="1:11" x14ac:dyDescent="0.25">
      <c r="A50" s="147" t="s">
        <v>184</v>
      </c>
      <c r="B50" s="148" t="s">
        <v>185</v>
      </c>
      <c r="C50" s="149">
        <v>9755</v>
      </c>
      <c r="D50" s="149">
        <v>0</v>
      </c>
      <c r="E50" s="150"/>
      <c r="F50" s="151">
        <f>C50+D50</f>
        <v>9755</v>
      </c>
      <c r="G50" s="152">
        <v>9497.5499999999993</v>
      </c>
      <c r="H50" s="149"/>
      <c r="I50" s="156"/>
      <c r="J50" s="154">
        <f>G50+H50</f>
        <v>9497.5499999999993</v>
      </c>
      <c r="K50" s="149">
        <f t="shared" si="18"/>
        <v>257.45000000000073</v>
      </c>
    </row>
    <row r="51" spans="1:11" x14ac:dyDescent="0.25">
      <c r="A51" s="147" t="s">
        <v>186</v>
      </c>
      <c r="B51" s="148" t="s">
        <v>187</v>
      </c>
      <c r="C51" s="149">
        <v>25988</v>
      </c>
      <c r="D51" s="149">
        <v>0</v>
      </c>
      <c r="E51" s="150"/>
      <c r="F51" s="151">
        <f t="shared" ref="F51:F57" si="25">C51+D51</f>
        <v>25988</v>
      </c>
      <c r="G51" s="152">
        <v>20864.8</v>
      </c>
      <c r="H51" s="149"/>
      <c r="I51" s="156"/>
      <c r="J51" s="154">
        <f t="shared" ref="J51:J57" si="26">G51+H51</f>
        <v>20864.8</v>
      </c>
      <c r="K51" s="149">
        <f t="shared" si="18"/>
        <v>5123.2000000000007</v>
      </c>
    </row>
    <row r="52" spans="1:11" x14ac:dyDescent="0.25">
      <c r="A52" s="147" t="s">
        <v>188</v>
      </c>
      <c r="B52" s="148" t="s">
        <v>347</v>
      </c>
      <c r="C52" s="149">
        <v>10966</v>
      </c>
      <c r="D52" s="149">
        <v>0</v>
      </c>
      <c r="E52" s="150"/>
      <c r="F52" s="151">
        <f t="shared" si="25"/>
        <v>10966</v>
      </c>
      <c r="G52" s="152">
        <v>12119.58</v>
      </c>
      <c r="H52" s="149"/>
      <c r="I52" s="156"/>
      <c r="J52" s="154">
        <f t="shared" si="26"/>
        <v>12119.58</v>
      </c>
      <c r="K52" s="231">
        <f t="shared" si="18"/>
        <v>-1153.58</v>
      </c>
    </row>
    <row r="53" spans="1:11" x14ac:dyDescent="0.25">
      <c r="A53" s="147" t="s">
        <v>189</v>
      </c>
      <c r="B53" s="148" t="s">
        <v>190</v>
      </c>
      <c r="C53" s="149">
        <v>7696</v>
      </c>
      <c r="D53" s="149">
        <v>500</v>
      </c>
      <c r="E53" s="150" t="s">
        <v>426</v>
      </c>
      <c r="F53" s="151">
        <f t="shared" si="25"/>
        <v>8196</v>
      </c>
      <c r="G53" s="152">
        <v>9008.85</v>
      </c>
      <c r="H53" s="149"/>
      <c r="I53" s="156"/>
      <c r="J53" s="154">
        <f t="shared" si="26"/>
        <v>9008.85</v>
      </c>
      <c r="K53" s="231">
        <f t="shared" si="18"/>
        <v>-812.85000000000036</v>
      </c>
    </row>
    <row r="54" spans="1:11" x14ac:dyDescent="0.25">
      <c r="A54" s="147" t="s">
        <v>191</v>
      </c>
      <c r="B54" s="148" t="s">
        <v>192</v>
      </c>
      <c r="C54" s="149">
        <v>64377</v>
      </c>
      <c r="D54" s="149">
        <v>0</v>
      </c>
      <c r="E54" s="150"/>
      <c r="F54" s="151">
        <f t="shared" si="25"/>
        <v>64377</v>
      </c>
      <c r="G54" s="152">
        <v>64458</v>
      </c>
      <c r="H54" s="149"/>
      <c r="I54" s="156"/>
      <c r="J54" s="154">
        <f t="shared" si="26"/>
        <v>64458</v>
      </c>
      <c r="K54" s="231">
        <f t="shared" si="18"/>
        <v>-81</v>
      </c>
    </row>
    <row r="55" spans="1:11" x14ac:dyDescent="0.25">
      <c r="A55" s="147" t="s">
        <v>193</v>
      </c>
      <c r="B55" s="148" t="s">
        <v>194</v>
      </c>
      <c r="C55" s="149">
        <v>1150</v>
      </c>
      <c r="D55" s="149">
        <v>0</v>
      </c>
      <c r="E55" s="150"/>
      <c r="F55" s="151">
        <f t="shared" si="25"/>
        <v>1150</v>
      </c>
      <c r="G55" s="152">
        <v>550.02</v>
      </c>
      <c r="H55" s="149"/>
      <c r="I55" s="156"/>
      <c r="J55" s="154">
        <f t="shared" si="26"/>
        <v>550.02</v>
      </c>
      <c r="K55" s="149">
        <f t="shared" si="18"/>
        <v>599.98</v>
      </c>
    </row>
    <row r="56" spans="1:11" x14ac:dyDescent="0.25">
      <c r="A56" s="147" t="s">
        <v>195</v>
      </c>
      <c r="B56" s="148" t="s">
        <v>196</v>
      </c>
      <c r="C56" s="149">
        <v>5940</v>
      </c>
      <c r="D56" s="149">
        <v>3340</v>
      </c>
      <c r="E56" s="150" t="s">
        <v>428</v>
      </c>
      <c r="F56" s="151">
        <f t="shared" si="25"/>
        <v>9280</v>
      </c>
      <c r="G56" s="152">
        <v>9432.5300000000007</v>
      </c>
      <c r="H56" s="149"/>
      <c r="I56" s="156"/>
      <c r="J56" s="154">
        <f t="shared" si="26"/>
        <v>9432.5300000000007</v>
      </c>
      <c r="K56" s="231">
        <f t="shared" si="18"/>
        <v>-152.53000000000065</v>
      </c>
    </row>
    <row r="57" spans="1:11" x14ac:dyDescent="0.25">
      <c r="A57" s="147" t="s">
        <v>197</v>
      </c>
      <c r="B57" s="148" t="s">
        <v>198</v>
      </c>
      <c r="C57" s="149">
        <v>5500</v>
      </c>
      <c r="D57" s="149">
        <v>0</v>
      </c>
      <c r="E57" s="150"/>
      <c r="F57" s="151">
        <f t="shared" si="25"/>
        <v>5500</v>
      </c>
      <c r="G57" s="152">
        <v>102.46</v>
      </c>
      <c r="H57" s="149">
        <v>5000</v>
      </c>
      <c r="I57" s="156" t="s">
        <v>417</v>
      </c>
      <c r="J57" s="154">
        <f t="shared" si="26"/>
        <v>5102.46</v>
      </c>
      <c r="K57" s="149">
        <f t="shared" si="18"/>
        <v>397.53999999999996</v>
      </c>
    </row>
    <row r="58" spans="1:11" x14ac:dyDescent="0.25">
      <c r="A58" s="138" t="s">
        <v>199</v>
      </c>
      <c r="B58" s="139" t="s">
        <v>200</v>
      </c>
      <c r="C58" s="141"/>
      <c r="D58" s="141"/>
      <c r="E58" s="142"/>
      <c r="F58" s="143"/>
      <c r="G58" s="144"/>
      <c r="H58" s="141"/>
      <c r="I58" s="155"/>
      <c r="J58" s="154"/>
      <c r="K58" s="141"/>
    </row>
    <row r="59" spans="1:11" x14ac:dyDescent="0.25">
      <c r="A59" s="147" t="s">
        <v>201</v>
      </c>
      <c r="B59" s="148" t="s">
        <v>202</v>
      </c>
      <c r="C59" s="149">
        <v>18030</v>
      </c>
      <c r="D59" s="149">
        <f>3100+-2680</f>
        <v>420</v>
      </c>
      <c r="E59" s="150" t="s">
        <v>431</v>
      </c>
      <c r="F59" s="151">
        <f>C59+D59</f>
        <v>18450</v>
      </c>
      <c r="G59" s="152">
        <v>12468.37</v>
      </c>
      <c r="H59" s="149"/>
      <c r="I59" s="156"/>
      <c r="J59" s="154">
        <f>G59+H59</f>
        <v>12468.37</v>
      </c>
      <c r="K59" s="149">
        <f t="shared" si="18"/>
        <v>5981.6299999999992</v>
      </c>
    </row>
    <row r="60" spans="1:11" x14ac:dyDescent="0.25">
      <c r="A60" s="147" t="s">
        <v>203</v>
      </c>
      <c r="B60" s="148" t="s">
        <v>204</v>
      </c>
      <c r="C60" s="149">
        <v>10283</v>
      </c>
      <c r="D60" s="149">
        <v>-2399</v>
      </c>
      <c r="E60" s="150" t="s">
        <v>481</v>
      </c>
      <c r="F60" s="151">
        <f t="shared" ref="F60:F64" si="27">C60+D60</f>
        <v>7884</v>
      </c>
      <c r="G60" s="152">
        <v>7884.03</v>
      </c>
      <c r="H60" s="149"/>
      <c r="I60" s="156"/>
      <c r="J60" s="154">
        <f t="shared" ref="J60:J64" si="28">G60+H60</f>
        <v>7884.03</v>
      </c>
      <c r="K60" s="149">
        <f t="shared" si="18"/>
        <v>-2.9999999999745341E-2</v>
      </c>
    </row>
    <row r="61" spans="1:11" x14ac:dyDescent="0.25">
      <c r="A61" s="147" t="s">
        <v>205</v>
      </c>
      <c r="B61" s="148" t="s">
        <v>206</v>
      </c>
      <c r="C61" s="149">
        <v>10113</v>
      </c>
      <c r="D61" s="149">
        <v>0</v>
      </c>
      <c r="E61" s="150"/>
      <c r="F61" s="151">
        <f t="shared" si="27"/>
        <v>10113</v>
      </c>
      <c r="G61" s="152">
        <v>10760</v>
      </c>
      <c r="H61" s="149"/>
      <c r="I61" s="156"/>
      <c r="J61" s="154">
        <f t="shared" si="28"/>
        <v>10760</v>
      </c>
      <c r="K61" s="231">
        <f t="shared" si="18"/>
        <v>-647</v>
      </c>
    </row>
    <row r="62" spans="1:11" x14ac:dyDescent="0.25">
      <c r="A62" s="147" t="s">
        <v>207</v>
      </c>
      <c r="B62" s="148" t="s">
        <v>208</v>
      </c>
      <c r="C62" s="149">
        <v>50086</v>
      </c>
      <c r="D62" s="149">
        <v>19235.68</v>
      </c>
      <c r="E62" s="150" t="s">
        <v>443</v>
      </c>
      <c r="F62" s="151">
        <f t="shared" si="27"/>
        <v>69321.679999999993</v>
      </c>
      <c r="G62" s="152">
        <v>69252.649999999994</v>
      </c>
      <c r="H62" s="149"/>
      <c r="I62" s="156"/>
      <c r="J62" s="154">
        <f t="shared" si="28"/>
        <v>69252.649999999994</v>
      </c>
      <c r="K62" s="149">
        <f t="shared" si="18"/>
        <v>69.029999999998836</v>
      </c>
    </row>
    <row r="63" spans="1:11" x14ac:dyDescent="0.25">
      <c r="A63" s="147" t="s">
        <v>348</v>
      </c>
      <c r="B63" s="148" t="s">
        <v>349</v>
      </c>
      <c r="C63" s="149">
        <v>4360</v>
      </c>
      <c r="D63" s="149">
        <v>0</v>
      </c>
      <c r="E63" s="150"/>
      <c r="F63" s="151">
        <f t="shared" ref="F63" si="29">C63+D63</f>
        <v>4360</v>
      </c>
      <c r="G63" s="152">
        <v>4348.99</v>
      </c>
      <c r="H63" s="149"/>
      <c r="I63" s="156"/>
      <c r="J63" s="154">
        <f t="shared" ref="J63" si="30">G63+H63</f>
        <v>4348.99</v>
      </c>
      <c r="K63" s="149">
        <f t="shared" ref="K63" si="31">F63-(J63)</f>
        <v>11.010000000000218</v>
      </c>
    </row>
    <row r="64" spans="1:11" x14ac:dyDescent="0.25">
      <c r="A64" s="147" t="s">
        <v>209</v>
      </c>
      <c r="B64" s="148" t="s">
        <v>350</v>
      </c>
      <c r="C64" s="149">
        <v>10923</v>
      </c>
      <c r="D64" s="149">
        <f>575-851.25</f>
        <v>-276.25</v>
      </c>
      <c r="E64" s="150" t="s">
        <v>472</v>
      </c>
      <c r="F64" s="151">
        <f t="shared" si="27"/>
        <v>10646.75</v>
      </c>
      <c r="G64" s="152">
        <v>0</v>
      </c>
      <c r="H64" s="149">
        <v>10646.75</v>
      </c>
      <c r="I64" s="156" t="s">
        <v>418</v>
      </c>
      <c r="J64" s="154">
        <f t="shared" si="28"/>
        <v>10646.75</v>
      </c>
      <c r="K64" s="149">
        <f t="shared" si="18"/>
        <v>0</v>
      </c>
    </row>
    <row r="65" spans="1:11" x14ac:dyDescent="0.25">
      <c r="A65" s="138" t="s">
        <v>210</v>
      </c>
      <c r="B65" s="139" t="s">
        <v>211</v>
      </c>
      <c r="C65" s="141"/>
      <c r="D65" s="141"/>
      <c r="E65" s="142"/>
      <c r="F65" s="143"/>
      <c r="G65" s="144"/>
      <c r="H65" s="141"/>
      <c r="I65" s="155"/>
      <c r="J65" s="154"/>
      <c r="K65" s="141"/>
    </row>
    <row r="66" spans="1:11" x14ac:dyDescent="0.25">
      <c r="A66" s="147" t="s">
        <v>212</v>
      </c>
      <c r="B66" s="148" t="s">
        <v>213</v>
      </c>
      <c r="C66" s="149">
        <v>39500</v>
      </c>
      <c r="D66" s="149">
        <f>225+1200</f>
        <v>1425</v>
      </c>
      <c r="E66" s="150" t="s">
        <v>433</v>
      </c>
      <c r="F66" s="151">
        <f>C66+D66</f>
        <v>40925</v>
      </c>
      <c r="G66" s="152">
        <v>35457.46</v>
      </c>
      <c r="H66" s="149"/>
      <c r="I66" s="156"/>
      <c r="J66" s="154">
        <f>G66+H66</f>
        <v>35457.46</v>
      </c>
      <c r="K66" s="149">
        <f t="shared" si="18"/>
        <v>5467.5400000000009</v>
      </c>
    </row>
    <row r="67" spans="1:11" x14ac:dyDescent="0.25">
      <c r="A67" s="147" t="s">
        <v>214</v>
      </c>
      <c r="B67" s="148" t="s">
        <v>215</v>
      </c>
      <c r="C67" s="149">
        <v>37719</v>
      </c>
      <c r="D67" s="149">
        <f>19515-15725-2376+1486+12442</f>
        <v>15342</v>
      </c>
      <c r="E67" s="150" t="s">
        <v>464</v>
      </c>
      <c r="F67" s="151">
        <f t="shared" ref="F67:F74" si="32">C67+D67</f>
        <v>53061</v>
      </c>
      <c r="G67" s="152">
        <v>53379.21</v>
      </c>
      <c r="H67" s="149"/>
      <c r="I67" s="156"/>
      <c r="J67" s="154">
        <f t="shared" ref="J67:J74" si="33">G67+H67</f>
        <v>53379.21</v>
      </c>
      <c r="K67" s="340">
        <f t="shared" si="18"/>
        <v>-318.20999999999913</v>
      </c>
    </row>
    <row r="68" spans="1:11" x14ac:dyDescent="0.25">
      <c r="A68" s="147" t="s">
        <v>216</v>
      </c>
      <c r="B68" s="148" t="s">
        <v>217</v>
      </c>
      <c r="C68" s="149">
        <v>2200</v>
      </c>
      <c r="D68" s="149">
        <v>-2200</v>
      </c>
      <c r="E68" s="150"/>
      <c r="F68" s="151">
        <f t="shared" si="32"/>
        <v>0</v>
      </c>
      <c r="G68" s="152">
        <v>0</v>
      </c>
      <c r="H68" s="149"/>
      <c r="I68" s="156"/>
      <c r="J68" s="154">
        <f t="shared" si="33"/>
        <v>0</v>
      </c>
      <c r="K68" s="149">
        <f t="shared" si="18"/>
        <v>0</v>
      </c>
    </row>
    <row r="69" spans="1:11" x14ac:dyDescent="0.25">
      <c r="A69" s="147" t="s">
        <v>218</v>
      </c>
      <c r="B69" s="148" t="s">
        <v>219</v>
      </c>
      <c r="C69" s="149">
        <v>0</v>
      </c>
      <c r="D69" s="149">
        <v>0</v>
      </c>
      <c r="E69" s="150"/>
      <c r="F69" s="151">
        <f t="shared" si="32"/>
        <v>0</v>
      </c>
      <c r="G69" s="152">
        <v>0</v>
      </c>
      <c r="H69" s="149"/>
      <c r="I69" s="156"/>
      <c r="J69" s="154">
        <f t="shared" si="33"/>
        <v>0</v>
      </c>
      <c r="K69" s="149">
        <f t="shared" si="18"/>
        <v>0</v>
      </c>
    </row>
    <row r="70" spans="1:11" x14ac:dyDescent="0.25">
      <c r="A70" s="147" t="s">
        <v>220</v>
      </c>
      <c r="B70" s="148" t="s">
        <v>221</v>
      </c>
      <c r="C70" s="149">
        <v>19515</v>
      </c>
      <c r="D70" s="149">
        <v>-19515</v>
      </c>
      <c r="E70" s="150"/>
      <c r="F70" s="151">
        <f t="shared" si="32"/>
        <v>0</v>
      </c>
      <c r="G70" s="152">
        <v>0</v>
      </c>
      <c r="H70" s="149"/>
      <c r="I70" s="156"/>
      <c r="J70" s="154">
        <f t="shared" si="33"/>
        <v>0</v>
      </c>
      <c r="K70" s="149">
        <f t="shared" si="18"/>
        <v>0</v>
      </c>
    </row>
    <row r="71" spans="1:11" x14ac:dyDescent="0.25">
      <c r="A71" s="147" t="s">
        <v>222</v>
      </c>
      <c r="B71" s="148" t="s">
        <v>223</v>
      </c>
      <c r="C71" s="149">
        <v>16848</v>
      </c>
      <c r="D71" s="149">
        <f>15725-6986-8728</f>
        <v>11</v>
      </c>
      <c r="E71" s="150" t="s">
        <v>465</v>
      </c>
      <c r="F71" s="151">
        <f t="shared" si="32"/>
        <v>16859</v>
      </c>
      <c r="G71" s="152">
        <v>16859.169999999998</v>
      </c>
      <c r="H71" s="149"/>
      <c r="I71" s="156"/>
      <c r="J71" s="154">
        <f t="shared" si="33"/>
        <v>16859.169999999998</v>
      </c>
      <c r="K71" s="149">
        <f t="shared" si="18"/>
        <v>-0.16999999999825377</v>
      </c>
    </row>
    <row r="72" spans="1:11" x14ac:dyDescent="0.25">
      <c r="A72" s="147" t="s">
        <v>224</v>
      </c>
      <c r="B72" s="148" t="s">
        <v>225</v>
      </c>
      <c r="C72" s="149">
        <v>0</v>
      </c>
      <c r="D72" s="149">
        <v>0</v>
      </c>
      <c r="E72" s="150"/>
      <c r="F72" s="151">
        <f t="shared" si="32"/>
        <v>0</v>
      </c>
      <c r="G72" s="152">
        <v>0</v>
      </c>
      <c r="H72" s="149"/>
      <c r="I72" s="156"/>
      <c r="J72" s="154">
        <f t="shared" si="33"/>
        <v>0</v>
      </c>
      <c r="K72" s="149">
        <f t="shared" si="18"/>
        <v>0</v>
      </c>
    </row>
    <row r="73" spans="1:11" x14ac:dyDescent="0.25">
      <c r="A73" s="147" t="s">
        <v>226</v>
      </c>
      <c r="B73" s="148" t="s">
        <v>227</v>
      </c>
      <c r="C73" s="149">
        <v>8119</v>
      </c>
      <c r="D73" s="149">
        <f>2376+6986+2221</f>
        <v>11583</v>
      </c>
      <c r="E73" s="150" t="s">
        <v>468</v>
      </c>
      <c r="F73" s="151">
        <f t="shared" si="32"/>
        <v>19702</v>
      </c>
      <c r="G73" s="152">
        <v>12749.45</v>
      </c>
      <c r="H73" s="149">
        <v>6952.96</v>
      </c>
      <c r="I73" s="156" t="s">
        <v>440</v>
      </c>
      <c r="J73" s="154">
        <f t="shared" si="33"/>
        <v>19702.41</v>
      </c>
      <c r="K73" s="149">
        <f t="shared" si="18"/>
        <v>-0.40999999999985448</v>
      </c>
    </row>
    <row r="74" spans="1:11" x14ac:dyDescent="0.25">
      <c r="A74" s="147" t="s">
        <v>228</v>
      </c>
      <c r="B74" s="148" t="s">
        <v>229</v>
      </c>
      <c r="C74" s="149">
        <v>38250</v>
      </c>
      <c r="D74" s="149">
        <v>775</v>
      </c>
      <c r="E74" s="150" t="s">
        <v>434</v>
      </c>
      <c r="F74" s="151">
        <f t="shared" si="32"/>
        <v>39025</v>
      </c>
      <c r="G74" s="152">
        <v>19128.54</v>
      </c>
      <c r="H74" s="149">
        <v>12742.4</v>
      </c>
      <c r="I74" s="156" t="s">
        <v>419</v>
      </c>
      <c r="J74" s="154">
        <f t="shared" si="33"/>
        <v>31870.940000000002</v>
      </c>
      <c r="K74" s="149">
        <f t="shared" si="18"/>
        <v>7154.0599999999977</v>
      </c>
    </row>
    <row r="75" spans="1:11" x14ac:dyDescent="0.25">
      <c r="A75" s="138" t="s">
        <v>230</v>
      </c>
      <c r="B75" s="139" t="s">
        <v>231</v>
      </c>
      <c r="C75" s="141"/>
      <c r="D75" s="141"/>
      <c r="E75" s="142"/>
      <c r="F75" s="143"/>
      <c r="G75" s="144"/>
      <c r="H75" s="141"/>
      <c r="I75" s="155"/>
      <c r="J75" s="154"/>
      <c r="K75" s="141"/>
    </row>
    <row r="76" spans="1:11" x14ac:dyDescent="0.25">
      <c r="A76" s="147" t="s">
        <v>232</v>
      </c>
      <c r="B76" s="148" t="s">
        <v>51</v>
      </c>
      <c r="C76" s="149">
        <v>15707</v>
      </c>
      <c r="D76" s="149">
        <f>793-412.5</f>
        <v>380.5</v>
      </c>
      <c r="E76" s="150" t="s">
        <v>470</v>
      </c>
      <c r="F76" s="151">
        <f>C76+D76</f>
        <v>16087.5</v>
      </c>
      <c r="G76" s="152">
        <v>10244.74</v>
      </c>
      <c r="H76" s="149">
        <v>5600</v>
      </c>
      <c r="I76" s="156" t="s">
        <v>420</v>
      </c>
      <c r="J76" s="154">
        <f>G76+H76</f>
        <v>15844.74</v>
      </c>
      <c r="K76" s="149">
        <f t="shared" si="18"/>
        <v>242.76000000000022</v>
      </c>
    </row>
    <row r="77" spans="1:11" x14ac:dyDescent="0.25">
      <c r="A77" s="147" t="s">
        <v>351</v>
      </c>
      <c r="B77" s="148" t="s">
        <v>352</v>
      </c>
      <c r="C77" s="149">
        <v>450</v>
      </c>
      <c r="D77" s="149">
        <v>0</v>
      </c>
      <c r="E77" s="150"/>
      <c r="F77" s="151">
        <f>C77+D77</f>
        <v>450</v>
      </c>
      <c r="G77" s="152">
        <v>357.01</v>
      </c>
      <c r="H77" s="340"/>
      <c r="I77" s="156" t="s">
        <v>421</v>
      </c>
      <c r="J77" s="154">
        <f>G77+H77</f>
        <v>357.01</v>
      </c>
      <c r="K77" s="149">
        <f t="shared" ref="K77" si="34">F77-(J77)</f>
        <v>92.990000000000009</v>
      </c>
    </row>
    <row r="78" spans="1:11" x14ac:dyDescent="0.25">
      <c r="A78" s="147" t="s">
        <v>422</v>
      </c>
      <c r="B78" s="148" t="s">
        <v>423</v>
      </c>
      <c r="C78" s="149">
        <v>0</v>
      </c>
      <c r="D78" s="149">
        <v>1296</v>
      </c>
      <c r="E78" s="150" t="s">
        <v>437</v>
      </c>
      <c r="F78" s="151">
        <f>C78+D78</f>
        <v>1296</v>
      </c>
      <c r="G78" s="152">
        <v>830.58</v>
      </c>
      <c r="H78" s="340"/>
      <c r="I78" s="156" t="s">
        <v>421</v>
      </c>
      <c r="J78" s="154">
        <f>G78+H78</f>
        <v>830.58</v>
      </c>
      <c r="K78" s="149">
        <f t="shared" ref="K78" si="35">F78-(J78)</f>
        <v>465.41999999999996</v>
      </c>
    </row>
    <row r="79" spans="1:11" x14ac:dyDescent="0.25">
      <c r="A79" s="147" t="s">
        <v>233</v>
      </c>
      <c r="B79" s="148" t="s">
        <v>234</v>
      </c>
      <c r="C79" s="149">
        <v>14867</v>
      </c>
      <c r="D79" s="149">
        <v>0</v>
      </c>
      <c r="E79" s="150"/>
      <c r="F79" s="151">
        <f t="shared" ref="F79:F83" si="36">C79+D79</f>
        <v>14867</v>
      </c>
      <c r="G79" s="152">
        <v>15058.39</v>
      </c>
      <c r="H79" s="149"/>
      <c r="I79" s="156"/>
      <c r="J79" s="154">
        <f t="shared" ref="J79:J83" si="37">G79+H79</f>
        <v>15058.39</v>
      </c>
      <c r="K79" s="231">
        <f t="shared" si="18"/>
        <v>-191.38999999999942</v>
      </c>
    </row>
    <row r="80" spans="1:11" x14ac:dyDescent="0.25">
      <c r="A80" s="147" t="s">
        <v>235</v>
      </c>
      <c r="B80" s="148" t="s">
        <v>236</v>
      </c>
      <c r="C80" s="149">
        <v>12162</v>
      </c>
      <c r="D80" s="149">
        <v>-5222.5</v>
      </c>
      <c r="E80" s="150" t="s">
        <v>469</v>
      </c>
      <c r="F80" s="151">
        <f t="shared" si="36"/>
        <v>6939.5</v>
      </c>
      <c r="G80" s="152">
        <v>5979.29</v>
      </c>
      <c r="H80" s="149"/>
      <c r="I80" s="156"/>
      <c r="J80" s="154">
        <f t="shared" si="37"/>
        <v>5979.29</v>
      </c>
      <c r="K80" s="149">
        <f t="shared" si="18"/>
        <v>960.21</v>
      </c>
    </row>
    <row r="81" spans="1:11" x14ac:dyDescent="0.25">
      <c r="A81" s="147" t="s">
        <v>237</v>
      </c>
      <c r="B81" s="148" t="s">
        <v>238</v>
      </c>
      <c r="C81" s="149">
        <v>3500</v>
      </c>
      <c r="D81" s="149">
        <v>0</v>
      </c>
      <c r="E81" s="150"/>
      <c r="F81" s="151">
        <f t="shared" si="36"/>
        <v>3500</v>
      </c>
      <c r="G81" s="152">
        <v>3246.37</v>
      </c>
      <c r="H81" s="149">
        <v>370</v>
      </c>
      <c r="I81" s="156" t="s">
        <v>447</v>
      </c>
      <c r="J81" s="154">
        <f t="shared" si="37"/>
        <v>3616.37</v>
      </c>
      <c r="K81" s="231">
        <f t="shared" si="18"/>
        <v>-116.36999999999989</v>
      </c>
    </row>
    <row r="82" spans="1:11" x14ac:dyDescent="0.25">
      <c r="A82" s="147" t="s">
        <v>239</v>
      </c>
      <c r="B82" s="148" t="s">
        <v>240</v>
      </c>
      <c r="C82" s="149">
        <v>500</v>
      </c>
      <c r="D82" s="149">
        <v>0</v>
      </c>
      <c r="E82" s="150"/>
      <c r="F82" s="151">
        <f t="shared" si="36"/>
        <v>500</v>
      </c>
      <c r="G82" s="152">
        <v>272.42</v>
      </c>
      <c r="H82" s="340"/>
      <c r="I82" s="156" t="s">
        <v>421</v>
      </c>
      <c r="J82" s="154">
        <f t="shared" si="37"/>
        <v>272.42</v>
      </c>
      <c r="K82" s="149">
        <f t="shared" si="18"/>
        <v>227.57999999999998</v>
      </c>
    </row>
    <row r="83" spans="1:11" x14ac:dyDescent="0.25">
      <c r="A83" s="147" t="s">
        <v>241</v>
      </c>
      <c r="B83" s="148" t="s">
        <v>242</v>
      </c>
      <c r="C83" s="149">
        <v>17945</v>
      </c>
      <c r="D83" s="149">
        <f>-785-3406</f>
        <v>-4191</v>
      </c>
      <c r="E83" s="150" t="s">
        <v>471</v>
      </c>
      <c r="F83" s="151">
        <f t="shared" si="36"/>
        <v>13754</v>
      </c>
      <c r="G83" s="152"/>
      <c r="H83" s="149">
        <v>13275</v>
      </c>
      <c r="I83" s="156" t="s">
        <v>451</v>
      </c>
      <c r="J83" s="154">
        <f t="shared" si="37"/>
        <v>13275</v>
      </c>
      <c r="K83" s="149">
        <f t="shared" si="18"/>
        <v>479</v>
      </c>
    </row>
    <row r="84" spans="1:11" x14ac:dyDescent="0.25">
      <c r="A84" s="138" t="s">
        <v>243</v>
      </c>
      <c r="B84" s="139" t="s">
        <v>244</v>
      </c>
      <c r="C84" s="141"/>
      <c r="D84" s="141"/>
      <c r="E84" s="142"/>
      <c r="F84" s="143"/>
      <c r="G84" s="144"/>
      <c r="H84" s="141"/>
      <c r="I84" s="155"/>
      <c r="J84" s="154"/>
      <c r="K84" s="141"/>
    </row>
    <row r="85" spans="1:11" x14ac:dyDescent="0.25">
      <c r="A85" s="147" t="s">
        <v>245</v>
      </c>
      <c r="B85" s="148" t="s">
        <v>246</v>
      </c>
      <c r="C85" s="149">
        <v>32555</v>
      </c>
      <c r="D85" s="149">
        <v>-1487</v>
      </c>
      <c r="E85" s="150" t="s">
        <v>457</v>
      </c>
      <c r="F85" s="151">
        <f>C85+D85</f>
        <v>31068</v>
      </c>
      <c r="G85" s="152">
        <v>31067.59</v>
      </c>
      <c r="H85" s="149"/>
      <c r="I85" s="156"/>
      <c r="J85" s="154">
        <f>G85+H85</f>
        <v>31067.59</v>
      </c>
      <c r="K85" s="149">
        <f t="shared" si="18"/>
        <v>0.40999999999985448</v>
      </c>
    </row>
    <row r="86" spans="1:11" x14ac:dyDescent="0.25">
      <c r="A86" s="147" t="s">
        <v>247</v>
      </c>
      <c r="B86" s="148" t="s">
        <v>248</v>
      </c>
      <c r="C86" s="149">
        <v>0</v>
      </c>
      <c r="D86" s="149">
        <v>4733</v>
      </c>
      <c r="E86" s="150" t="s">
        <v>482</v>
      </c>
      <c r="F86" s="151">
        <f>C86+D86</f>
        <v>4733</v>
      </c>
      <c r="G86" s="152">
        <v>3454</v>
      </c>
      <c r="H86" s="149"/>
      <c r="I86" s="156"/>
      <c r="J86" s="154">
        <f>G86+H86</f>
        <v>3454</v>
      </c>
      <c r="K86" s="149">
        <f t="shared" si="18"/>
        <v>1279</v>
      </c>
    </row>
    <row r="87" spans="1:11" x14ac:dyDescent="0.25">
      <c r="A87" s="138" t="s">
        <v>249</v>
      </c>
      <c r="B87" s="139" t="s">
        <v>250</v>
      </c>
      <c r="C87" s="141"/>
      <c r="D87" s="141"/>
      <c r="E87" s="142"/>
      <c r="F87" s="143"/>
      <c r="G87" s="144"/>
      <c r="H87" s="141"/>
      <c r="I87" s="155"/>
      <c r="J87" s="154"/>
      <c r="K87" s="141"/>
    </row>
    <row r="88" spans="1:11" x14ac:dyDescent="0.25">
      <c r="A88" s="138" t="s">
        <v>251</v>
      </c>
      <c r="B88" s="139" t="s">
        <v>252</v>
      </c>
      <c r="C88" s="141"/>
      <c r="D88" s="141"/>
      <c r="E88" s="142"/>
      <c r="F88" s="143"/>
      <c r="G88" s="144"/>
      <c r="H88" s="141"/>
      <c r="I88" s="155"/>
      <c r="J88" s="154"/>
      <c r="K88" s="141"/>
    </row>
    <row r="89" spans="1:11" x14ac:dyDescent="0.25">
      <c r="A89" s="147" t="s">
        <v>353</v>
      </c>
      <c r="B89" s="148" t="s">
        <v>354</v>
      </c>
      <c r="C89" s="149">
        <v>4650</v>
      </c>
      <c r="D89" s="149">
        <v>0</v>
      </c>
      <c r="E89" s="150"/>
      <c r="F89" s="151">
        <f>C89+D89</f>
        <v>4650</v>
      </c>
      <c r="G89" s="152">
        <v>0</v>
      </c>
      <c r="H89" s="149">
        <v>4650</v>
      </c>
      <c r="I89" s="156" t="s">
        <v>424</v>
      </c>
      <c r="J89" s="154">
        <f>G89+H89</f>
        <v>4650</v>
      </c>
      <c r="K89" s="149">
        <f t="shared" ref="K89" si="38">F89-(J89)</f>
        <v>0</v>
      </c>
    </row>
    <row r="90" spans="1:11" x14ac:dyDescent="0.25">
      <c r="A90" s="138" t="s">
        <v>253</v>
      </c>
      <c r="B90" s="139" t="s">
        <v>254</v>
      </c>
      <c r="C90" s="141"/>
      <c r="D90" s="141"/>
      <c r="E90" s="142"/>
      <c r="F90" s="143"/>
      <c r="G90" s="144"/>
      <c r="H90" s="141"/>
      <c r="I90" s="155"/>
      <c r="J90" s="154"/>
      <c r="K90" s="141"/>
    </row>
    <row r="91" spans="1:11" x14ac:dyDescent="0.25">
      <c r="A91" s="147" t="s">
        <v>355</v>
      </c>
      <c r="B91" s="148" t="s">
        <v>356</v>
      </c>
      <c r="C91" s="149">
        <v>40063</v>
      </c>
      <c r="D91" s="149">
        <v>-40063</v>
      </c>
      <c r="E91" s="150" t="s">
        <v>425</v>
      </c>
      <c r="F91" s="151">
        <f>C91+D91</f>
        <v>0</v>
      </c>
      <c r="G91" s="152">
        <v>0</v>
      </c>
      <c r="H91" s="149"/>
      <c r="I91" s="156"/>
      <c r="J91" s="154">
        <f>G91+H91</f>
        <v>0</v>
      </c>
      <c r="K91" s="149">
        <f t="shared" ref="K91" si="39">F91-(J91)</f>
        <v>0</v>
      </c>
    </row>
    <row r="92" spans="1:11" x14ac:dyDescent="0.25">
      <c r="A92" s="138" t="s">
        <v>452</v>
      </c>
      <c r="B92" s="139" t="s">
        <v>453</v>
      </c>
      <c r="C92" s="141"/>
      <c r="D92" s="141"/>
      <c r="E92" s="142"/>
      <c r="F92" s="143"/>
      <c r="G92" s="144"/>
      <c r="H92" s="141"/>
      <c r="I92" s="155"/>
      <c r="J92" s="154"/>
      <c r="K92" s="141"/>
    </row>
    <row r="93" spans="1:11" x14ac:dyDescent="0.25">
      <c r="A93" s="147" t="s">
        <v>454</v>
      </c>
      <c r="B93" s="148" t="s">
        <v>455</v>
      </c>
      <c r="C93" s="149">
        <v>0</v>
      </c>
      <c r="D93" s="149">
        <v>0</v>
      </c>
      <c r="E93" s="150"/>
      <c r="F93" s="151">
        <f>C93+D93</f>
        <v>0</v>
      </c>
      <c r="G93" s="152">
        <v>0</v>
      </c>
      <c r="H93" s="149"/>
      <c r="I93" s="156"/>
      <c r="J93" s="154">
        <f>G93+H93</f>
        <v>0</v>
      </c>
      <c r="K93" s="149">
        <f t="shared" ref="K93" si="40">F93-(J93)</f>
        <v>0</v>
      </c>
    </row>
    <row r="94" spans="1:11" x14ac:dyDescent="0.25">
      <c r="A94" s="138" t="s">
        <v>255</v>
      </c>
      <c r="B94" s="139" t="s">
        <v>256</v>
      </c>
      <c r="C94" s="141"/>
      <c r="D94" s="141"/>
      <c r="E94" s="142"/>
      <c r="F94" s="143"/>
      <c r="G94" s="144"/>
      <c r="H94" s="141"/>
      <c r="I94" s="155"/>
      <c r="J94" s="154"/>
      <c r="K94" s="141"/>
    </row>
    <row r="95" spans="1:11" x14ac:dyDescent="0.25">
      <c r="A95" s="147" t="s">
        <v>257</v>
      </c>
      <c r="B95" s="148" t="s">
        <v>256</v>
      </c>
      <c r="C95" s="149">
        <v>48450</v>
      </c>
      <c r="D95" s="149">
        <v>2475</v>
      </c>
      <c r="E95" s="150" t="s">
        <v>435</v>
      </c>
      <c r="F95" s="151">
        <f>C95+D95</f>
        <v>50925</v>
      </c>
      <c r="G95" s="152">
        <v>46548.5</v>
      </c>
      <c r="H95" s="149"/>
      <c r="I95" s="156"/>
      <c r="J95" s="154">
        <f>G95+H95</f>
        <v>46548.5</v>
      </c>
      <c r="K95" s="149">
        <f t="shared" ref="K95:K125" si="41">F95-(J95)</f>
        <v>4376.5</v>
      </c>
    </row>
    <row r="96" spans="1:11" x14ac:dyDescent="0.25">
      <c r="A96" s="147" t="s">
        <v>357</v>
      </c>
      <c r="B96" s="148" t="s">
        <v>358</v>
      </c>
      <c r="C96" s="149">
        <v>5104</v>
      </c>
      <c r="D96" s="149">
        <v>-5104</v>
      </c>
      <c r="E96" s="150" t="s">
        <v>473</v>
      </c>
      <c r="F96" s="151">
        <f>C96+D96</f>
        <v>0</v>
      </c>
      <c r="G96" s="152">
        <v>0</v>
      </c>
      <c r="H96" s="149"/>
      <c r="I96" s="156"/>
      <c r="J96" s="154">
        <f>G96+H96</f>
        <v>0</v>
      </c>
      <c r="K96" s="149">
        <f t="shared" ref="K96" si="42">F96-(J96)</f>
        <v>0</v>
      </c>
    </row>
    <row r="97" spans="1:11" x14ac:dyDescent="0.25">
      <c r="A97" s="147" t="s">
        <v>258</v>
      </c>
      <c r="B97" s="148" t="s">
        <v>359</v>
      </c>
      <c r="C97" s="149">
        <v>31874</v>
      </c>
      <c r="D97" s="149">
        <f>1841+459-1486+5677</f>
        <v>6491</v>
      </c>
      <c r="E97" s="150" t="s">
        <v>458</v>
      </c>
      <c r="F97" s="151">
        <f>C97+D97</f>
        <v>38365</v>
      </c>
      <c r="G97" s="152">
        <v>38365.120000000003</v>
      </c>
      <c r="H97" s="149"/>
      <c r="I97" s="156"/>
      <c r="J97" s="154">
        <f>G97+H97</f>
        <v>38365.120000000003</v>
      </c>
      <c r="K97" s="149">
        <f t="shared" si="41"/>
        <v>-0.12000000000261934</v>
      </c>
    </row>
    <row r="98" spans="1:11" x14ac:dyDescent="0.25">
      <c r="A98" s="138" t="s">
        <v>259</v>
      </c>
      <c r="B98" s="139" t="s">
        <v>260</v>
      </c>
      <c r="C98" s="141"/>
      <c r="D98" s="141"/>
      <c r="E98" s="142"/>
      <c r="F98" s="143"/>
      <c r="G98" s="144"/>
      <c r="H98" s="141"/>
      <c r="I98" s="155"/>
      <c r="J98" s="154"/>
      <c r="K98" s="141"/>
    </row>
    <row r="99" spans="1:11" x14ac:dyDescent="0.25">
      <c r="A99" s="147" t="s">
        <v>261</v>
      </c>
      <c r="B99" s="148" t="s">
        <v>260</v>
      </c>
      <c r="C99" s="149">
        <v>45975</v>
      </c>
      <c r="D99" s="149">
        <f>375+10932-4250</f>
        <v>7057</v>
      </c>
      <c r="E99" s="150" t="s">
        <v>456</v>
      </c>
      <c r="F99" s="151">
        <f>C99+D99</f>
        <v>53032</v>
      </c>
      <c r="G99" s="152">
        <v>45975</v>
      </c>
      <c r="H99" s="149">
        <v>6682</v>
      </c>
      <c r="I99" s="156" t="s">
        <v>449</v>
      </c>
      <c r="J99" s="154">
        <f>G99+H99</f>
        <v>52657</v>
      </c>
      <c r="K99" s="149">
        <f t="shared" si="41"/>
        <v>375</v>
      </c>
    </row>
    <row r="100" spans="1:11" x14ac:dyDescent="0.25">
      <c r="A100" s="147" t="s">
        <v>262</v>
      </c>
      <c r="B100" s="148" t="s">
        <v>263</v>
      </c>
      <c r="C100" s="149">
        <v>1204</v>
      </c>
      <c r="D100" s="149">
        <v>0</v>
      </c>
      <c r="E100" s="150"/>
      <c r="F100" s="151">
        <f>C100+D100</f>
        <v>1204</v>
      </c>
      <c r="G100" s="152">
        <v>749</v>
      </c>
      <c r="H100" s="149"/>
      <c r="I100" s="156"/>
      <c r="J100" s="154">
        <f>G100+H100</f>
        <v>749</v>
      </c>
      <c r="K100" s="149">
        <f t="shared" si="41"/>
        <v>455</v>
      </c>
    </row>
    <row r="101" spans="1:11" x14ac:dyDescent="0.25">
      <c r="A101" s="138" t="s">
        <v>264</v>
      </c>
      <c r="B101" s="139" t="s">
        <v>265</v>
      </c>
      <c r="C101" s="141"/>
      <c r="D101" s="141"/>
      <c r="E101" s="142"/>
      <c r="F101" s="143"/>
      <c r="G101" s="144"/>
      <c r="H101" s="141"/>
      <c r="I101" s="155"/>
      <c r="J101" s="154"/>
      <c r="K101" s="141"/>
    </row>
    <row r="102" spans="1:11" x14ac:dyDescent="0.25">
      <c r="A102" s="147" t="s">
        <v>266</v>
      </c>
      <c r="B102" s="148" t="s">
        <v>265</v>
      </c>
      <c r="C102" s="149">
        <v>54965</v>
      </c>
      <c r="D102" s="149">
        <f>1020+16280</f>
        <v>17300</v>
      </c>
      <c r="E102" s="150" t="s">
        <v>436</v>
      </c>
      <c r="F102" s="151">
        <f>C102+D102</f>
        <v>72265</v>
      </c>
      <c r="G102" s="152">
        <v>75095</v>
      </c>
      <c r="H102" s="149"/>
      <c r="I102" s="156"/>
      <c r="J102" s="154">
        <f>G102+H102</f>
        <v>75095</v>
      </c>
      <c r="K102" s="231">
        <f t="shared" si="41"/>
        <v>-2830</v>
      </c>
    </row>
    <row r="103" spans="1:11" x14ac:dyDescent="0.25">
      <c r="A103" s="147" t="s">
        <v>267</v>
      </c>
      <c r="B103" s="148" t="s">
        <v>268</v>
      </c>
      <c r="C103" s="149">
        <v>22738</v>
      </c>
      <c r="D103" s="149">
        <f>500-16694</f>
        <v>-16194</v>
      </c>
      <c r="E103" s="150" t="s">
        <v>459</v>
      </c>
      <c r="F103" s="151">
        <f t="shared" ref="F103:F104" si="43">C103+D103</f>
        <v>6544</v>
      </c>
      <c r="G103" s="152">
        <v>6544.2</v>
      </c>
      <c r="H103" s="149"/>
      <c r="I103" s="156"/>
      <c r="J103" s="154">
        <f t="shared" ref="J103:J104" si="44">G103+H103</f>
        <v>6544.2</v>
      </c>
      <c r="K103" s="149">
        <f t="shared" si="41"/>
        <v>-0.1999999999998181</v>
      </c>
    </row>
    <row r="104" spans="1:11" x14ac:dyDescent="0.25">
      <c r="A104" s="147" t="s">
        <v>269</v>
      </c>
      <c r="B104" s="228" t="s">
        <v>270</v>
      </c>
      <c r="C104" s="149">
        <v>0</v>
      </c>
      <c r="D104" s="149">
        <v>29608</v>
      </c>
      <c r="E104" s="150" t="s">
        <v>462</v>
      </c>
      <c r="F104" s="151">
        <f t="shared" si="43"/>
        <v>29608</v>
      </c>
      <c r="G104" s="152">
        <v>22233.18</v>
      </c>
      <c r="H104" s="149"/>
      <c r="I104" s="156"/>
      <c r="J104" s="154">
        <f t="shared" si="44"/>
        <v>22233.18</v>
      </c>
      <c r="K104" s="149">
        <f t="shared" si="41"/>
        <v>7374.82</v>
      </c>
    </row>
    <row r="105" spans="1:11" x14ac:dyDescent="0.25">
      <c r="A105" s="138" t="s">
        <v>271</v>
      </c>
      <c r="B105" s="139" t="s">
        <v>272</v>
      </c>
      <c r="C105" s="141"/>
      <c r="D105" s="141"/>
      <c r="E105" s="142"/>
      <c r="F105" s="143"/>
      <c r="G105" s="144"/>
      <c r="H105" s="141"/>
      <c r="I105" s="155"/>
      <c r="J105" s="154"/>
      <c r="K105" s="141"/>
    </row>
    <row r="106" spans="1:11" x14ac:dyDescent="0.25">
      <c r="A106" s="147" t="s">
        <v>273</v>
      </c>
      <c r="B106" s="228" t="s">
        <v>274</v>
      </c>
      <c r="C106" s="149">
        <v>10000</v>
      </c>
      <c r="D106" s="149">
        <f>4750+10619</f>
        <v>15369</v>
      </c>
      <c r="E106" s="150" t="s">
        <v>463</v>
      </c>
      <c r="F106" s="151">
        <f>C106+D106</f>
        <v>25369</v>
      </c>
      <c r="G106" s="152">
        <v>9868.32</v>
      </c>
      <c r="H106" s="149">
        <f>6900+7208+2356</f>
        <v>16464</v>
      </c>
      <c r="I106" s="156" t="s">
        <v>461</v>
      </c>
      <c r="J106" s="154">
        <f>G106+H106</f>
        <v>26332.32</v>
      </c>
      <c r="K106" s="231">
        <f t="shared" si="41"/>
        <v>-963.31999999999971</v>
      </c>
    </row>
    <row r="107" spans="1:11" x14ac:dyDescent="0.25">
      <c r="A107" s="138" t="s">
        <v>275</v>
      </c>
      <c r="B107" s="139" t="s">
        <v>276</v>
      </c>
      <c r="C107" s="141"/>
      <c r="D107" s="141"/>
      <c r="E107" s="142"/>
      <c r="F107" s="143"/>
      <c r="G107" s="144"/>
      <c r="H107" s="141"/>
      <c r="I107" s="155"/>
      <c r="J107" s="154"/>
      <c r="K107" s="141"/>
    </row>
    <row r="108" spans="1:11" x14ac:dyDescent="0.25">
      <c r="A108" s="147" t="s">
        <v>277</v>
      </c>
      <c r="B108" s="148" t="s">
        <v>360</v>
      </c>
      <c r="C108" s="149">
        <v>4750</v>
      </c>
      <c r="D108" s="149">
        <v>-4750</v>
      </c>
      <c r="E108" s="150" t="s">
        <v>460</v>
      </c>
      <c r="F108" s="151">
        <f>C108+D108</f>
        <v>0</v>
      </c>
      <c r="G108" s="152">
        <v>0</v>
      </c>
      <c r="H108" s="149">
        <v>0</v>
      </c>
      <c r="I108" s="156"/>
      <c r="J108" s="154">
        <f>G108+H108</f>
        <v>0</v>
      </c>
      <c r="K108" s="149">
        <f t="shared" si="41"/>
        <v>0</v>
      </c>
    </row>
    <row r="109" spans="1:11" x14ac:dyDescent="0.25">
      <c r="A109" s="138" t="s">
        <v>278</v>
      </c>
      <c r="B109" s="139" t="s">
        <v>279</v>
      </c>
      <c r="C109" s="141"/>
      <c r="D109" s="141"/>
      <c r="E109" s="142"/>
      <c r="F109" s="143"/>
      <c r="G109" s="144"/>
      <c r="H109" s="141"/>
      <c r="I109" s="155"/>
      <c r="J109" s="154"/>
      <c r="K109" s="141"/>
    </row>
    <row r="110" spans="1:11" x14ac:dyDescent="0.25">
      <c r="A110" s="147" t="s">
        <v>280</v>
      </c>
      <c r="B110" s="148" t="s">
        <v>361</v>
      </c>
      <c r="C110" s="149">
        <v>16500</v>
      </c>
      <c r="D110" s="149">
        <v>0</v>
      </c>
      <c r="E110" s="150"/>
      <c r="F110" s="151">
        <f t="shared" ref="F110:F111" si="45">C110+D110</f>
        <v>16500</v>
      </c>
      <c r="G110" s="152">
        <v>21378.77</v>
      </c>
      <c r="H110" s="149"/>
      <c r="I110" s="156"/>
      <c r="J110" s="154">
        <f t="shared" ref="J110:J111" si="46">G110+H110</f>
        <v>21378.77</v>
      </c>
      <c r="K110" s="231">
        <f t="shared" si="41"/>
        <v>-4878.7700000000004</v>
      </c>
    </row>
    <row r="111" spans="1:11" x14ac:dyDescent="0.25">
      <c r="A111" s="147" t="s">
        <v>281</v>
      </c>
      <c r="B111" s="148" t="s">
        <v>282</v>
      </c>
      <c r="C111" s="149">
        <v>2000</v>
      </c>
      <c r="D111" s="149">
        <v>0</v>
      </c>
      <c r="E111" s="150"/>
      <c r="F111" s="151">
        <f t="shared" si="45"/>
        <v>2000</v>
      </c>
      <c r="G111" s="152">
        <v>1950</v>
      </c>
      <c r="H111" s="149"/>
      <c r="I111" s="156"/>
      <c r="J111" s="154">
        <f t="shared" si="46"/>
        <v>1950</v>
      </c>
      <c r="K111" s="149">
        <f t="shared" si="41"/>
        <v>50</v>
      </c>
    </row>
    <row r="112" spans="1:11" x14ac:dyDescent="0.25">
      <c r="A112" s="138" t="s">
        <v>283</v>
      </c>
      <c r="B112" s="139" t="s">
        <v>284</v>
      </c>
      <c r="C112" s="141"/>
      <c r="D112" s="141"/>
      <c r="E112" s="142"/>
      <c r="F112" s="143"/>
      <c r="G112" s="144"/>
      <c r="H112" s="141"/>
      <c r="I112" s="155"/>
      <c r="J112" s="154"/>
      <c r="K112" s="141"/>
    </row>
    <row r="113" spans="1:11" x14ac:dyDescent="0.25">
      <c r="A113" s="147" t="s">
        <v>285</v>
      </c>
      <c r="B113" s="148" t="s">
        <v>286</v>
      </c>
      <c r="C113" s="149">
        <v>26455</v>
      </c>
      <c r="D113" s="149">
        <v>0</v>
      </c>
      <c r="E113" s="150"/>
      <c r="F113" s="151">
        <f>C113+D113</f>
        <v>26455</v>
      </c>
      <c r="G113" s="152">
        <v>31188.11</v>
      </c>
      <c r="H113" s="149"/>
      <c r="I113" s="156"/>
      <c r="J113" s="154">
        <f>G113+H113</f>
        <v>31188.11</v>
      </c>
      <c r="K113" s="231">
        <f t="shared" si="41"/>
        <v>-4733.1100000000006</v>
      </c>
    </row>
    <row r="114" spans="1:11" x14ac:dyDescent="0.25">
      <c r="A114" s="147" t="s">
        <v>287</v>
      </c>
      <c r="B114" s="148" t="s">
        <v>56</v>
      </c>
      <c r="C114" s="149">
        <v>23000</v>
      </c>
      <c r="D114" s="149">
        <v>10720</v>
      </c>
      <c r="E114" s="150" t="s">
        <v>474</v>
      </c>
      <c r="F114" s="151">
        <f t="shared" ref="F114:F120" si="47">C114+D114</f>
        <v>33720</v>
      </c>
      <c r="G114" s="152">
        <v>33720</v>
      </c>
      <c r="H114" s="149"/>
      <c r="I114" s="156"/>
      <c r="J114" s="154">
        <f t="shared" ref="J114:J120" si="48">G114+H114</f>
        <v>33720</v>
      </c>
      <c r="K114" s="149">
        <f t="shared" si="41"/>
        <v>0</v>
      </c>
    </row>
    <row r="115" spans="1:11" x14ac:dyDescent="0.25">
      <c r="A115" s="147" t="s">
        <v>288</v>
      </c>
      <c r="B115" s="148" t="s">
        <v>57</v>
      </c>
      <c r="C115" s="149">
        <v>12250</v>
      </c>
      <c r="D115" s="149">
        <v>-11260</v>
      </c>
      <c r="E115" s="150" t="s">
        <v>475</v>
      </c>
      <c r="F115" s="151">
        <f t="shared" si="47"/>
        <v>990</v>
      </c>
      <c r="G115" s="152">
        <v>990</v>
      </c>
      <c r="H115" s="149"/>
      <c r="I115" s="156"/>
      <c r="J115" s="154">
        <f t="shared" si="48"/>
        <v>990</v>
      </c>
      <c r="K115" s="149">
        <f t="shared" si="41"/>
        <v>0</v>
      </c>
    </row>
    <row r="116" spans="1:11" x14ac:dyDescent="0.25">
      <c r="A116" s="147" t="s">
        <v>362</v>
      </c>
      <c r="B116" s="148" t="s">
        <v>363</v>
      </c>
      <c r="C116" s="149">
        <v>20000</v>
      </c>
      <c r="D116" s="149">
        <f>13504+13106</f>
        <v>26610</v>
      </c>
      <c r="E116" s="150" t="s">
        <v>480</v>
      </c>
      <c r="F116" s="151">
        <f t="shared" ref="F116" si="49">C116+D116</f>
        <v>46610</v>
      </c>
      <c r="G116" s="152">
        <v>46610</v>
      </c>
      <c r="H116" s="149"/>
      <c r="I116" s="156"/>
      <c r="J116" s="154">
        <f t="shared" ref="J116" si="50">G116+H116</f>
        <v>46610</v>
      </c>
      <c r="K116" s="149">
        <f t="shared" ref="K116" si="51">F116-(J116)</f>
        <v>0</v>
      </c>
    </row>
    <row r="117" spans="1:11" x14ac:dyDescent="0.25">
      <c r="A117" s="147" t="s">
        <v>289</v>
      </c>
      <c r="B117" s="148" t="s">
        <v>290</v>
      </c>
      <c r="C117" s="149">
        <v>0</v>
      </c>
      <c r="D117" s="149">
        <v>9850</v>
      </c>
      <c r="E117" s="150" t="s">
        <v>427</v>
      </c>
      <c r="F117" s="151">
        <f t="shared" si="47"/>
        <v>9850</v>
      </c>
      <c r="G117" s="152">
        <v>9275</v>
      </c>
      <c r="H117" s="149"/>
      <c r="I117" s="156"/>
      <c r="J117" s="154">
        <f t="shared" si="48"/>
        <v>9275</v>
      </c>
      <c r="K117" s="149">
        <f t="shared" si="41"/>
        <v>575</v>
      </c>
    </row>
    <row r="118" spans="1:11" x14ac:dyDescent="0.25">
      <c r="A118" s="147" t="s">
        <v>291</v>
      </c>
      <c r="B118" s="148" t="s">
        <v>364</v>
      </c>
      <c r="C118" s="149">
        <v>4250</v>
      </c>
      <c r="D118" s="149">
        <v>-4250</v>
      </c>
      <c r="E118" s="150" t="s">
        <v>476</v>
      </c>
      <c r="F118" s="151">
        <f t="shared" si="47"/>
        <v>0</v>
      </c>
      <c r="G118" s="152">
        <v>0</v>
      </c>
      <c r="H118" s="149"/>
      <c r="I118" s="156"/>
      <c r="J118" s="154">
        <f t="shared" si="48"/>
        <v>0</v>
      </c>
      <c r="K118" s="149">
        <f t="shared" si="41"/>
        <v>0</v>
      </c>
    </row>
    <row r="119" spans="1:11" x14ac:dyDescent="0.25">
      <c r="A119" s="147" t="s">
        <v>292</v>
      </c>
      <c r="B119" s="148" t="s">
        <v>365</v>
      </c>
      <c r="C119" s="149">
        <v>10000</v>
      </c>
      <c r="D119" s="149">
        <f>4250+4835</f>
        <v>9085</v>
      </c>
      <c r="E119" s="150" t="s">
        <v>477</v>
      </c>
      <c r="F119" s="151">
        <f t="shared" si="47"/>
        <v>19085</v>
      </c>
      <c r="G119" s="152">
        <f>14995+4090</f>
        <v>19085</v>
      </c>
      <c r="H119" s="149"/>
      <c r="I119" s="156"/>
      <c r="J119" s="154">
        <f t="shared" si="48"/>
        <v>19085</v>
      </c>
      <c r="K119" s="149">
        <f t="shared" si="41"/>
        <v>0</v>
      </c>
    </row>
    <row r="120" spans="1:11" x14ac:dyDescent="0.25">
      <c r="A120" s="147" t="s">
        <v>293</v>
      </c>
      <c r="B120" s="148" t="s">
        <v>366</v>
      </c>
      <c r="C120" s="149">
        <v>40000</v>
      </c>
      <c r="D120" s="149">
        <f>12965+2766</f>
        <v>15731</v>
      </c>
      <c r="E120" s="150" t="s">
        <v>479</v>
      </c>
      <c r="F120" s="151">
        <f t="shared" si="47"/>
        <v>55731</v>
      </c>
      <c r="G120" s="152">
        <f>23875.56+31855</f>
        <v>55730.559999999998</v>
      </c>
      <c r="H120" s="149"/>
      <c r="I120" s="156"/>
      <c r="J120" s="154">
        <f t="shared" si="48"/>
        <v>55730.559999999998</v>
      </c>
      <c r="K120" s="149">
        <f t="shared" si="41"/>
        <v>0.44000000000232831</v>
      </c>
    </row>
    <row r="121" spans="1:11" x14ac:dyDescent="0.25">
      <c r="A121" s="138" t="s">
        <v>294</v>
      </c>
      <c r="B121" s="139" t="s">
        <v>295</v>
      </c>
      <c r="C121" s="141"/>
      <c r="D121" s="141"/>
      <c r="E121" s="142"/>
      <c r="F121" s="143"/>
      <c r="G121" s="144"/>
      <c r="H121" s="141"/>
      <c r="I121" s="155"/>
      <c r="J121" s="154"/>
      <c r="K121" s="141"/>
    </row>
    <row r="122" spans="1:11" x14ac:dyDescent="0.25">
      <c r="A122" s="147" t="s">
        <v>296</v>
      </c>
      <c r="B122" s="148" t="s">
        <v>367</v>
      </c>
      <c r="C122" s="149">
        <v>9500</v>
      </c>
      <c r="D122" s="149">
        <v>0</v>
      </c>
      <c r="E122" s="150"/>
      <c r="F122" s="151">
        <f>C122+D122</f>
        <v>9500</v>
      </c>
      <c r="G122" s="152">
        <v>8000</v>
      </c>
      <c r="H122" s="149"/>
      <c r="I122" s="156"/>
      <c r="J122" s="154">
        <f>G122+H122</f>
        <v>8000</v>
      </c>
      <c r="K122" s="149">
        <f t="shared" si="41"/>
        <v>1500</v>
      </c>
    </row>
    <row r="123" spans="1:11" x14ac:dyDescent="0.25">
      <c r="A123" s="147" t="s">
        <v>297</v>
      </c>
      <c r="B123" s="148" t="s">
        <v>298</v>
      </c>
      <c r="C123" s="149">
        <v>12965</v>
      </c>
      <c r="D123" s="149">
        <v>-12965</v>
      </c>
      <c r="E123" s="150" t="s">
        <v>478</v>
      </c>
      <c r="F123" s="151">
        <f>C123+D123</f>
        <v>0</v>
      </c>
      <c r="G123" s="152">
        <v>0</v>
      </c>
      <c r="H123" s="149"/>
      <c r="I123" s="156"/>
      <c r="J123" s="154">
        <f t="shared" ref="J123" si="52">G123+H123</f>
        <v>0</v>
      </c>
      <c r="K123" s="340">
        <f t="shared" si="41"/>
        <v>0</v>
      </c>
    </row>
    <row r="124" spans="1:11" x14ac:dyDescent="0.25">
      <c r="A124" s="147"/>
      <c r="B124" s="148"/>
      <c r="C124" s="149"/>
      <c r="D124" s="149"/>
      <c r="E124" s="150"/>
      <c r="F124" s="151"/>
      <c r="G124" s="152"/>
      <c r="H124" s="149"/>
      <c r="I124" s="156"/>
      <c r="J124" s="154"/>
      <c r="K124" s="149"/>
    </row>
    <row r="125" spans="1:11" x14ac:dyDescent="0.25">
      <c r="A125" s="147" t="s">
        <v>299</v>
      </c>
      <c r="B125" s="148" t="s">
        <v>300</v>
      </c>
      <c r="C125" s="149">
        <v>35000</v>
      </c>
      <c r="D125" s="149">
        <v>0</v>
      </c>
      <c r="E125" s="150"/>
      <c r="F125" s="151">
        <f>C125+D125</f>
        <v>35000</v>
      </c>
      <c r="G125" s="152">
        <v>0</v>
      </c>
      <c r="H125" s="149"/>
      <c r="I125" s="156"/>
      <c r="J125" s="154">
        <v>0</v>
      </c>
      <c r="K125" s="149">
        <f t="shared" si="41"/>
        <v>35000</v>
      </c>
    </row>
    <row r="126" spans="1:11" x14ac:dyDescent="0.25">
      <c r="A126" s="147"/>
      <c r="B126" s="148"/>
      <c r="C126" s="149"/>
      <c r="E126" s="150"/>
      <c r="F126" s="151"/>
      <c r="G126" s="152"/>
      <c r="H126" s="149"/>
      <c r="I126" s="156"/>
      <c r="J126" s="154"/>
      <c r="K126" s="149"/>
    </row>
    <row r="127" spans="1:11" x14ac:dyDescent="0.25">
      <c r="A127" s="147"/>
      <c r="B127" s="148" t="s">
        <v>301</v>
      </c>
      <c r="C127" s="149">
        <f>SUM(C13:C125)*0.15</f>
        <v>241683.9</v>
      </c>
      <c r="D127" s="149">
        <f>SUM(D11:D125)*0.15</f>
        <v>9164.6894999999986</v>
      </c>
      <c r="E127" s="150" t="s">
        <v>429</v>
      </c>
      <c r="F127" s="151">
        <f>SUM(F13:F125)*0.15</f>
        <v>250848.58949999997</v>
      </c>
      <c r="G127" s="152">
        <f>SUM(G11:G125)*0.15</f>
        <v>224609.72700000001</v>
      </c>
      <c r="H127" s="149">
        <f>SUM(H11:H125)*0.15</f>
        <v>12357.4665</v>
      </c>
      <c r="I127" s="156"/>
      <c r="J127" s="154">
        <f>SUM(J13:J125)*0.15</f>
        <v>236967.19350000005</v>
      </c>
      <c r="K127" s="149"/>
    </row>
    <row r="128" spans="1:11" x14ac:dyDescent="0.25">
      <c r="A128" s="147"/>
      <c r="B128" s="157"/>
      <c r="C128" s="157"/>
      <c r="D128" s="157"/>
      <c r="E128" s="158"/>
      <c r="F128" s="159"/>
      <c r="G128" s="160"/>
      <c r="H128" s="161"/>
      <c r="I128" s="162"/>
      <c r="J128" s="163"/>
      <c r="K128" s="157"/>
    </row>
    <row r="129" spans="1:11" x14ac:dyDescent="0.25">
      <c r="A129" s="165"/>
      <c r="B129" s="148"/>
      <c r="C129" s="148"/>
      <c r="D129" s="148"/>
      <c r="E129" s="165"/>
      <c r="F129" s="166"/>
      <c r="G129" s="167"/>
      <c r="H129" s="148"/>
      <c r="I129" s="153"/>
      <c r="J129" s="139"/>
      <c r="K129" s="148"/>
    </row>
    <row r="130" spans="1:11" x14ac:dyDescent="0.25">
      <c r="A130" s="158"/>
      <c r="B130" s="157" t="s">
        <v>302</v>
      </c>
      <c r="C130" s="161">
        <f>SUM(C11:C128)</f>
        <v>1852909.9</v>
      </c>
      <c r="D130" s="161">
        <f>SUM(D11:D128)</f>
        <v>70262.619499999986</v>
      </c>
      <c r="E130" s="164"/>
      <c r="F130" s="168">
        <f>SUM(F13:F128)</f>
        <v>1923172.5194999999</v>
      </c>
      <c r="G130" s="169">
        <f>SUM(G13:G129)</f>
        <v>1722007.9070000001</v>
      </c>
      <c r="H130" s="170">
        <f>SUM(H11:H128)</f>
        <v>94740.576499999996</v>
      </c>
      <c r="I130" s="171">
        <f>SUM(I11:I128)</f>
        <v>0</v>
      </c>
      <c r="J130" s="172">
        <f>SUM(J11:J128)</f>
        <v>1816748.4835000006</v>
      </c>
      <c r="K130" s="161">
        <f>SUM(K13:K128)</f>
        <v>92542.64</v>
      </c>
    </row>
    <row r="131" spans="1:11" x14ac:dyDescent="0.25">
      <c r="C131" s="341"/>
    </row>
    <row r="133" spans="1:11" x14ac:dyDescent="0.25">
      <c r="D133" s="173"/>
      <c r="E133" s="173"/>
    </row>
  </sheetData>
  <mergeCells count="1">
    <mergeCell ref="G7:I7"/>
  </mergeCells>
  <phoneticPr fontId="26" type="noConversion"/>
  <pageMargins left="0.7" right="0.7" top="0.75" bottom="0.75" header="0.3" footer="0.3"/>
  <pageSetup paperSize="3" scale="4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325C5-A1ED-471C-AC0D-9DD050816613}">
  <sheetPr>
    <pageSetUpPr fitToPage="1"/>
  </sheetPr>
  <dimension ref="A1:J303"/>
  <sheetViews>
    <sheetView workbookViewId="0">
      <selection activeCell="G289" sqref="G289"/>
    </sheetView>
  </sheetViews>
  <sheetFormatPr defaultRowHeight="15" x14ac:dyDescent="0.25"/>
  <cols>
    <col min="1" max="1" width="11.7109375" bestFit="1" customWidth="1"/>
    <col min="2" max="2" width="30.7109375" bestFit="1" customWidth="1"/>
    <col min="3" max="3" width="20" bestFit="1" customWidth="1"/>
    <col min="4" max="4" width="23.28515625" bestFit="1" customWidth="1"/>
    <col min="5" max="7" width="21.7109375" customWidth="1"/>
    <col min="8" max="8" width="2.7109375" customWidth="1"/>
    <col min="9" max="10" width="21.7109375" customWidth="1"/>
  </cols>
  <sheetData>
    <row r="1" spans="1:10" ht="18.75" x14ac:dyDescent="0.3">
      <c r="A1" s="174" t="s">
        <v>33</v>
      </c>
    </row>
    <row r="2" spans="1:10" x14ac:dyDescent="0.25">
      <c r="A2" t="s">
        <v>306</v>
      </c>
      <c r="B2" s="195">
        <v>12407</v>
      </c>
      <c r="C2" s="195"/>
    </row>
    <row r="3" spans="1:10" x14ac:dyDescent="0.25">
      <c r="A3" t="s">
        <v>307</v>
      </c>
      <c r="B3" t="s">
        <v>303</v>
      </c>
    </row>
    <row r="5" spans="1:10" x14ac:dyDescent="0.25">
      <c r="A5" s="175" t="s">
        <v>308</v>
      </c>
      <c r="B5" s="176" t="s">
        <v>309</v>
      </c>
      <c r="C5" s="177" t="s">
        <v>310</v>
      </c>
      <c r="D5" s="177" t="s">
        <v>334</v>
      </c>
      <c r="E5" s="177" t="s">
        <v>311</v>
      </c>
      <c r="F5" s="178" t="s">
        <v>312</v>
      </c>
      <c r="G5" s="177" t="s">
        <v>313</v>
      </c>
      <c r="H5" s="179"/>
      <c r="I5" s="180" t="s">
        <v>314</v>
      </c>
      <c r="J5" s="181" t="s">
        <v>315</v>
      </c>
    </row>
    <row r="6" spans="1:10" x14ac:dyDescent="0.25">
      <c r="A6" s="182" t="s">
        <v>316</v>
      </c>
      <c r="B6" s="183" t="s">
        <v>317</v>
      </c>
      <c r="C6" s="184"/>
      <c r="D6" s="184"/>
      <c r="E6" s="184"/>
      <c r="F6" s="184"/>
      <c r="G6" s="184"/>
      <c r="I6" s="185"/>
    </row>
    <row r="7" spans="1:10" x14ac:dyDescent="0.25">
      <c r="A7" s="199" t="s">
        <v>318</v>
      </c>
      <c r="B7" s="200" t="s">
        <v>319</v>
      </c>
      <c r="C7" s="201">
        <v>91.91</v>
      </c>
      <c r="D7" s="201"/>
      <c r="E7" s="201">
        <v>0</v>
      </c>
      <c r="F7" s="202">
        <v>0</v>
      </c>
      <c r="G7" s="202">
        <f>F7*E7</f>
        <v>0</v>
      </c>
      <c r="H7" s="203"/>
      <c r="I7" s="204">
        <v>2573.84</v>
      </c>
      <c r="J7" s="205">
        <f>G7-I7</f>
        <v>-2573.84</v>
      </c>
    </row>
    <row r="8" spans="1:10" x14ac:dyDescent="0.25">
      <c r="A8" s="199" t="s">
        <v>320</v>
      </c>
      <c r="B8" s="211" t="s">
        <v>321</v>
      </c>
      <c r="C8" s="206">
        <v>462.52</v>
      </c>
      <c r="D8" s="201"/>
      <c r="E8" s="206">
        <f>SUM(E9:E11)</f>
        <v>462.52000000000004</v>
      </c>
      <c r="F8" s="207">
        <v>85</v>
      </c>
      <c r="G8" s="202">
        <f>SUM(G9:G11)</f>
        <v>39239.949999999997</v>
      </c>
      <c r="H8" s="203"/>
      <c r="I8" s="208">
        <v>32166.3</v>
      </c>
      <c r="J8" s="337">
        <f>(G8+G12)-(I8+I12)</f>
        <v>7290.93</v>
      </c>
    </row>
    <row r="9" spans="1:10" x14ac:dyDescent="0.25">
      <c r="A9" s="182"/>
      <c r="B9" s="183"/>
      <c r="C9" s="184"/>
      <c r="D9" s="184" t="s">
        <v>377</v>
      </c>
      <c r="E9" s="184">
        <v>459.55</v>
      </c>
      <c r="F9" s="186">
        <v>85</v>
      </c>
      <c r="G9" s="186">
        <f>F9*E9</f>
        <v>39061.75</v>
      </c>
      <c r="I9" s="187"/>
      <c r="J9" s="338"/>
    </row>
    <row r="10" spans="1:10" x14ac:dyDescent="0.25">
      <c r="A10" s="182"/>
      <c r="B10" s="183"/>
      <c r="C10" s="184"/>
      <c r="D10" s="184" t="s">
        <v>379</v>
      </c>
      <c r="E10" s="184">
        <v>2.97</v>
      </c>
      <c r="F10" s="186">
        <v>60</v>
      </c>
      <c r="G10" s="186">
        <f>F10*E10</f>
        <v>178.20000000000002</v>
      </c>
      <c r="I10" s="187"/>
      <c r="J10" s="338"/>
    </row>
    <row r="11" spans="1:10" x14ac:dyDescent="0.25">
      <c r="A11" s="182"/>
      <c r="B11" s="183"/>
      <c r="C11" s="184"/>
      <c r="D11" s="184" t="s">
        <v>378</v>
      </c>
      <c r="E11" s="184">
        <v>0</v>
      </c>
      <c r="F11" s="186">
        <v>90</v>
      </c>
      <c r="G11" s="186"/>
      <c r="I11" s="187"/>
      <c r="J11" s="338"/>
    </row>
    <row r="12" spans="1:10" x14ac:dyDescent="0.25">
      <c r="A12" s="199" t="s">
        <v>322</v>
      </c>
      <c r="B12" s="211" t="s">
        <v>323</v>
      </c>
      <c r="C12" s="206">
        <v>51.95</v>
      </c>
      <c r="D12" s="201"/>
      <c r="E12" s="206">
        <f>SUM(E13:E21)</f>
        <v>51.95</v>
      </c>
      <c r="F12" s="209">
        <v>75</v>
      </c>
      <c r="G12" s="202">
        <f>SUM(G13:G21)</f>
        <v>2597.5</v>
      </c>
      <c r="H12" s="203"/>
      <c r="I12" s="208">
        <v>2380.2199999999998</v>
      </c>
      <c r="J12" s="339"/>
    </row>
    <row r="13" spans="1:10" x14ac:dyDescent="0.25">
      <c r="A13" s="182"/>
      <c r="B13" s="183"/>
      <c r="C13" s="184"/>
      <c r="D13" s="184" t="s">
        <v>379</v>
      </c>
      <c r="E13" s="184">
        <v>0</v>
      </c>
      <c r="F13" s="186">
        <v>60</v>
      </c>
      <c r="G13" s="186">
        <f>F13*E13</f>
        <v>0</v>
      </c>
      <c r="I13" s="187"/>
      <c r="J13" s="188"/>
    </row>
    <row r="14" spans="1:10" x14ac:dyDescent="0.25">
      <c r="A14" s="182"/>
      <c r="B14" s="183"/>
      <c r="C14" s="184"/>
      <c r="D14" s="184" t="s">
        <v>380</v>
      </c>
      <c r="E14" s="184">
        <v>0</v>
      </c>
      <c r="F14" s="186">
        <v>60</v>
      </c>
      <c r="G14" s="186">
        <f t="shared" ref="G14:G23" si="0">F14*E14</f>
        <v>0</v>
      </c>
      <c r="I14" s="187"/>
      <c r="J14" s="188"/>
    </row>
    <row r="15" spans="1:10" x14ac:dyDescent="0.25">
      <c r="A15" s="182"/>
      <c r="B15" s="183"/>
      <c r="C15" s="184"/>
      <c r="D15" s="184" t="s">
        <v>381</v>
      </c>
      <c r="E15" s="184">
        <v>0</v>
      </c>
      <c r="F15" s="186">
        <v>50</v>
      </c>
      <c r="G15" s="186">
        <f t="shared" si="0"/>
        <v>0</v>
      </c>
      <c r="I15" s="187"/>
      <c r="J15" s="188"/>
    </row>
    <row r="16" spans="1:10" x14ac:dyDescent="0.25">
      <c r="A16" s="182"/>
      <c r="B16" s="183"/>
      <c r="C16" s="184"/>
      <c r="D16" s="184" t="s">
        <v>382</v>
      </c>
      <c r="E16" s="184">
        <v>0</v>
      </c>
      <c r="F16" s="186">
        <v>50</v>
      </c>
      <c r="G16" s="186">
        <f t="shared" si="0"/>
        <v>0</v>
      </c>
      <c r="I16" s="187"/>
      <c r="J16" s="188"/>
    </row>
    <row r="17" spans="1:10" x14ac:dyDescent="0.25">
      <c r="A17" s="182"/>
      <c r="B17" s="183"/>
      <c r="C17" s="184"/>
      <c r="D17" s="184" t="s">
        <v>383</v>
      </c>
      <c r="E17" s="184">
        <v>0</v>
      </c>
      <c r="F17" s="186">
        <v>50</v>
      </c>
      <c r="G17" s="186">
        <f t="shared" si="0"/>
        <v>0</v>
      </c>
      <c r="I17" s="187"/>
      <c r="J17" s="188"/>
    </row>
    <row r="18" spans="1:10" x14ac:dyDescent="0.25">
      <c r="A18" s="182"/>
      <c r="B18" s="183"/>
      <c r="C18" s="184"/>
      <c r="D18" s="184" t="s">
        <v>384</v>
      </c>
      <c r="E18" s="184">
        <v>0</v>
      </c>
      <c r="F18" s="186">
        <v>50</v>
      </c>
      <c r="G18" s="186">
        <f t="shared" si="0"/>
        <v>0</v>
      </c>
      <c r="I18" s="187"/>
      <c r="J18" s="188"/>
    </row>
    <row r="19" spans="1:10" x14ac:dyDescent="0.25">
      <c r="A19" s="182"/>
      <c r="B19" s="183"/>
      <c r="C19" s="184"/>
      <c r="D19" s="184" t="s">
        <v>414</v>
      </c>
      <c r="E19" s="184">
        <v>51.95</v>
      </c>
      <c r="F19" s="186">
        <v>50</v>
      </c>
      <c r="G19" s="186">
        <f t="shared" ref="G19" si="1">F19*E19</f>
        <v>2597.5</v>
      </c>
      <c r="I19" s="187"/>
      <c r="J19" s="188"/>
    </row>
    <row r="20" spans="1:10" x14ac:dyDescent="0.25">
      <c r="A20" s="182"/>
      <c r="B20" s="183"/>
      <c r="C20" s="184"/>
      <c r="D20" s="184" t="s">
        <v>385</v>
      </c>
      <c r="E20" s="184">
        <v>0</v>
      </c>
      <c r="F20" s="186">
        <v>75</v>
      </c>
      <c r="G20" s="186">
        <f t="shared" si="0"/>
        <v>0</v>
      </c>
      <c r="I20" s="187"/>
      <c r="J20" s="188"/>
    </row>
    <row r="21" spans="1:10" x14ac:dyDescent="0.25">
      <c r="A21" s="182"/>
      <c r="B21" s="183"/>
      <c r="C21" s="184"/>
      <c r="D21" s="184" t="s">
        <v>386</v>
      </c>
      <c r="E21" s="184">
        <v>0</v>
      </c>
      <c r="F21" s="186">
        <v>60</v>
      </c>
      <c r="G21" s="186">
        <f t="shared" si="0"/>
        <v>0</v>
      </c>
      <c r="I21" s="187"/>
      <c r="J21" s="188"/>
    </row>
    <row r="22" spans="1:10" x14ac:dyDescent="0.25">
      <c r="A22" s="199" t="s">
        <v>324</v>
      </c>
      <c r="B22" s="200" t="s">
        <v>325</v>
      </c>
      <c r="C22" s="206">
        <v>780.99</v>
      </c>
      <c r="D22" s="201"/>
      <c r="E22" s="201">
        <v>0</v>
      </c>
      <c r="F22" s="202">
        <v>0</v>
      </c>
      <c r="G22" s="202">
        <f t="shared" si="0"/>
        <v>0</v>
      </c>
      <c r="H22" s="203"/>
      <c r="I22" s="204">
        <v>44377.11</v>
      </c>
      <c r="J22" s="205">
        <f>G22-I22</f>
        <v>-44377.11</v>
      </c>
    </row>
    <row r="23" spans="1:10" x14ac:dyDescent="0.25">
      <c r="A23" s="199" t="s">
        <v>326</v>
      </c>
      <c r="B23" s="200" t="s">
        <v>327</v>
      </c>
      <c r="C23" s="206">
        <v>111.5</v>
      </c>
      <c r="D23" s="201"/>
      <c r="E23" s="201">
        <v>0</v>
      </c>
      <c r="F23" s="202">
        <v>0</v>
      </c>
      <c r="G23" s="202">
        <f t="shared" si="0"/>
        <v>0</v>
      </c>
      <c r="H23" s="203"/>
      <c r="I23" s="204">
        <v>4519.6899999999996</v>
      </c>
      <c r="J23" s="205">
        <f t="shared" ref="J23:J52" si="2">G23-I23</f>
        <v>-4519.6899999999996</v>
      </c>
    </row>
    <row r="24" spans="1:10" x14ac:dyDescent="0.25">
      <c r="A24" s="210" t="s">
        <v>328</v>
      </c>
      <c r="B24" s="211" t="s">
        <v>329</v>
      </c>
      <c r="C24" s="206">
        <v>158.9</v>
      </c>
      <c r="D24" s="206"/>
      <c r="E24" s="206">
        <f>SUM(E25:E33)</f>
        <v>158.9</v>
      </c>
      <c r="F24" s="212"/>
      <c r="G24" s="212">
        <f>SUM(G25:G33)</f>
        <v>8459.2000000000007</v>
      </c>
      <c r="H24" s="213"/>
      <c r="I24" s="208">
        <v>4951.66</v>
      </c>
      <c r="J24" s="214">
        <f t="shared" si="2"/>
        <v>3507.5400000000009</v>
      </c>
    </row>
    <row r="25" spans="1:10" x14ac:dyDescent="0.25">
      <c r="A25" s="182"/>
      <c r="B25" s="183"/>
      <c r="C25" s="184"/>
      <c r="D25" s="184" t="s">
        <v>379</v>
      </c>
      <c r="E25" s="184">
        <v>35.67</v>
      </c>
      <c r="F25" s="186">
        <v>60</v>
      </c>
      <c r="G25" s="186">
        <f>F25*E25</f>
        <v>2140.2000000000003</v>
      </c>
      <c r="I25" s="187"/>
      <c r="J25" s="188"/>
    </row>
    <row r="26" spans="1:10" x14ac:dyDescent="0.25">
      <c r="A26" s="182"/>
      <c r="B26" s="183"/>
      <c r="C26" s="184"/>
      <c r="D26" s="184" t="s">
        <v>380</v>
      </c>
      <c r="E26" s="184">
        <v>15.75</v>
      </c>
      <c r="F26" s="186">
        <v>60</v>
      </c>
      <c r="G26" s="186">
        <f t="shared" ref="G26:G33" si="3">F26*E26</f>
        <v>945</v>
      </c>
      <c r="I26" s="187"/>
      <c r="J26" s="188"/>
    </row>
    <row r="27" spans="1:10" x14ac:dyDescent="0.25">
      <c r="A27" s="182"/>
      <c r="B27" s="183"/>
      <c r="C27" s="184"/>
      <c r="D27" s="184" t="s">
        <v>381</v>
      </c>
      <c r="E27" s="184">
        <v>27.97</v>
      </c>
      <c r="F27" s="186">
        <v>50</v>
      </c>
      <c r="G27" s="186">
        <f t="shared" si="3"/>
        <v>1398.5</v>
      </c>
      <c r="I27" s="187"/>
      <c r="J27" s="188"/>
    </row>
    <row r="28" spans="1:10" x14ac:dyDescent="0.25">
      <c r="A28" s="182"/>
      <c r="B28" s="183"/>
      <c r="C28" s="184"/>
      <c r="D28" s="184" t="s">
        <v>382</v>
      </c>
      <c r="E28" s="184">
        <v>55.15</v>
      </c>
      <c r="F28" s="186">
        <v>50</v>
      </c>
      <c r="G28" s="186">
        <f t="shared" si="3"/>
        <v>2757.5</v>
      </c>
      <c r="I28" s="187"/>
      <c r="J28" s="188"/>
    </row>
    <row r="29" spans="1:10" x14ac:dyDescent="0.25">
      <c r="A29" s="182"/>
      <c r="B29" s="183"/>
      <c r="C29" s="184"/>
      <c r="D29" s="184" t="s">
        <v>383</v>
      </c>
      <c r="E29" s="184">
        <v>8.56</v>
      </c>
      <c r="F29" s="186">
        <v>50</v>
      </c>
      <c r="G29" s="186">
        <f t="shared" si="3"/>
        <v>428</v>
      </c>
      <c r="I29" s="187"/>
      <c r="J29" s="188"/>
    </row>
    <row r="30" spans="1:10" x14ac:dyDescent="0.25">
      <c r="A30" s="182"/>
      <c r="B30" s="183"/>
      <c r="C30" s="184"/>
      <c r="D30" s="184" t="s">
        <v>384</v>
      </c>
      <c r="E30" s="184">
        <v>8.33</v>
      </c>
      <c r="F30" s="186">
        <v>50</v>
      </c>
      <c r="G30" s="186">
        <f t="shared" si="3"/>
        <v>416.5</v>
      </c>
      <c r="I30" s="187"/>
      <c r="J30" s="188"/>
    </row>
    <row r="31" spans="1:10" x14ac:dyDescent="0.25">
      <c r="A31" s="182"/>
      <c r="B31" s="183"/>
      <c r="C31" s="184"/>
      <c r="D31" s="184" t="s">
        <v>414</v>
      </c>
      <c r="E31" s="184">
        <v>7.47</v>
      </c>
      <c r="F31" s="186">
        <v>50</v>
      </c>
      <c r="G31" s="186">
        <f t="shared" si="3"/>
        <v>373.5</v>
      </c>
      <c r="I31" s="187"/>
      <c r="J31" s="188"/>
    </row>
    <row r="32" spans="1:10" x14ac:dyDescent="0.25">
      <c r="A32" s="182"/>
      <c r="B32" s="183"/>
      <c r="C32" s="184"/>
      <c r="D32" s="184" t="s">
        <v>385</v>
      </c>
      <c r="E32" s="184">
        <v>0</v>
      </c>
      <c r="F32" s="186">
        <v>75</v>
      </c>
      <c r="G32" s="186">
        <f t="shared" si="3"/>
        <v>0</v>
      </c>
      <c r="I32" s="187"/>
      <c r="J32" s="188"/>
    </row>
    <row r="33" spans="1:10" x14ac:dyDescent="0.25">
      <c r="A33" s="182"/>
      <c r="B33" s="183"/>
      <c r="C33" s="184"/>
      <c r="D33" s="184" t="s">
        <v>386</v>
      </c>
      <c r="E33" s="184">
        <v>0</v>
      </c>
      <c r="F33" s="186">
        <v>60</v>
      </c>
      <c r="G33" s="186">
        <f t="shared" si="3"/>
        <v>0</v>
      </c>
      <c r="I33" s="187"/>
      <c r="J33" s="188"/>
    </row>
    <row r="34" spans="1:10" x14ac:dyDescent="0.25">
      <c r="A34" s="210" t="s">
        <v>335</v>
      </c>
      <c r="B34" s="215" t="s">
        <v>336</v>
      </c>
      <c r="C34" s="206">
        <v>10.1</v>
      </c>
      <c r="D34" s="206"/>
      <c r="E34" s="206">
        <f>SUM(E35:E42)</f>
        <v>10.1</v>
      </c>
      <c r="F34" s="216"/>
      <c r="G34" s="212">
        <f>SUM(G35:G42)</f>
        <v>529.20000000000005</v>
      </c>
      <c r="H34" s="213"/>
      <c r="I34" s="208">
        <v>264.33999999999997</v>
      </c>
      <c r="J34" s="214">
        <f t="shared" si="2"/>
        <v>264.86000000000007</v>
      </c>
    </row>
    <row r="35" spans="1:10" x14ac:dyDescent="0.25">
      <c r="A35" s="182"/>
      <c r="B35" s="217"/>
      <c r="C35" s="184"/>
      <c r="D35" s="184" t="s">
        <v>379</v>
      </c>
      <c r="E35" s="184">
        <v>2.42</v>
      </c>
      <c r="F35" s="186">
        <v>60</v>
      </c>
      <c r="G35" s="186">
        <f>F35*E35</f>
        <v>145.19999999999999</v>
      </c>
      <c r="I35" s="187"/>
      <c r="J35" s="188"/>
    </row>
    <row r="36" spans="1:10" x14ac:dyDescent="0.25">
      <c r="A36" s="182"/>
      <c r="B36" s="217"/>
      <c r="C36" s="184"/>
      <c r="D36" s="184" t="s">
        <v>380</v>
      </c>
      <c r="E36" s="184">
        <v>0</v>
      </c>
      <c r="F36" s="186">
        <v>60</v>
      </c>
      <c r="G36" s="186">
        <f t="shared" ref="G36:G42" si="4">F36*E36</f>
        <v>0</v>
      </c>
      <c r="I36" s="187"/>
      <c r="J36" s="188"/>
    </row>
    <row r="37" spans="1:10" x14ac:dyDescent="0.25">
      <c r="A37" s="182"/>
      <c r="B37" s="217"/>
      <c r="C37" s="184"/>
      <c r="D37" s="184" t="s">
        <v>381</v>
      </c>
      <c r="E37" s="184">
        <v>3.48</v>
      </c>
      <c r="F37" s="186">
        <v>50</v>
      </c>
      <c r="G37" s="186">
        <f t="shared" si="4"/>
        <v>174</v>
      </c>
      <c r="I37" s="187"/>
      <c r="J37" s="188"/>
    </row>
    <row r="38" spans="1:10" x14ac:dyDescent="0.25">
      <c r="A38" s="182"/>
      <c r="B38" s="217"/>
      <c r="C38" s="184"/>
      <c r="D38" s="184" t="s">
        <v>382</v>
      </c>
      <c r="E38" s="184">
        <v>2.27</v>
      </c>
      <c r="F38" s="186">
        <v>50</v>
      </c>
      <c r="G38" s="186">
        <f t="shared" si="4"/>
        <v>113.5</v>
      </c>
      <c r="I38" s="187"/>
      <c r="J38" s="188"/>
    </row>
    <row r="39" spans="1:10" x14ac:dyDescent="0.25">
      <c r="A39" s="182"/>
      <c r="B39" s="217"/>
      <c r="C39" s="184"/>
      <c r="D39" s="184" t="s">
        <v>383</v>
      </c>
      <c r="E39" s="184">
        <v>0</v>
      </c>
      <c r="F39" s="186">
        <v>50</v>
      </c>
      <c r="G39" s="186">
        <f t="shared" si="4"/>
        <v>0</v>
      </c>
      <c r="I39" s="187"/>
      <c r="J39" s="188"/>
    </row>
    <row r="40" spans="1:10" x14ac:dyDescent="0.25">
      <c r="A40" s="182"/>
      <c r="B40" s="217"/>
      <c r="C40" s="184"/>
      <c r="D40" s="184" t="s">
        <v>384</v>
      </c>
      <c r="E40" s="184">
        <v>1.93</v>
      </c>
      <c r="F40" s="186">
        <v>50</v>
      </c>
      <c r="G40" s="186">
        <f t="shared" si="4"/>
        <v>96.5</v>
      </c>
      <c r="I40" s="187"/>
      <c r="J40" s="188"/>
    </row>
    <row r="41" spans="1:10" x14ac:dyDescent="0.25">
      <c r="A41" s="182"/>
      <c r="B41" s="217"/>
      <c r="C41" s="184"/>
      <c r="D41" s="184" t="s">
        <v>385</v>
      </c>
      <c r="E41" s="184">
        <v>0</v>
      </c>
      <c r="F41" s="186">
        <v>75</v>
      </c>
      <c r="G41" s="186">
        <f t="shared" si="4"/>
        <v>0</v>
      </c>
      <c r="I41" s="187"/>
      <c r="J41" s="188"/>
    </row>
    <row r="42" spans="1:10" x14ac:dyDescent="0.25">
      <c r="A42" s="182"/>
      <c r="B42" s="217"/>
      <c r="C42" s="184"/>
      <c r="D42" s="184" t="s">
        <v>386</v>
      </c>
      <c r="E42" s="184">
        <v>0</v>
      </c>
      <c r="F42" s="186">
        <v>60</v>
      </c>
      <c r="G42" s="186">
        <f t="shared" si="4"/>
        <v>0</v>
      </c>
      <c r="I42" s="187"/>
      <c r="J42" s="188"/>
    </row>
    <row r="43" spans="1:10" x14ac:dyDescent="0.25">
      <c r="A43" s="210" t="s">
        <v>330</v>
      </c>
      <c r="B43" s="211" t="s">
        <v>331</v>
      </c>
      <c r="C43" s="206">
        <v>5.37</v>
      </c>
      <c r="D43" s="206"/>
      <c r="E43" s="206">
        <f>SUM(E44:E51)</f>
        <v>5.37</v>
      </c>
      <c r="F43" s="216"/>
      <c r="G43" s="212">
        <f>SUM(G44:G51)</f>
        <v>268.5</v>
      </c>
      <c r="H43" s="213"/>
      <c r="I43" s="208">
        <v>118.2</v>
      </c>
      <c r="J43" s="214">
        <f t="shared" si="2"/>
        <v>150.30000000000001</v>
      </c>
    </row>
    <row r="44" spans="1:10" x14ac:dyDescent="0.25">
      <c r="A44" s="182"/>
      <c r="B44" s="183"/>
      <c r="C44" s="184"/>
      <c r="D44" s="184" t="s">
        <v>379</v>
      </c>
      <c r="E44" s="184">
        <v>0</v>
      </c>
      <c r="F44" s="186">
        <v>60</v>
      </c>
      <c r="G44" s="186">
        <f>F44*E44</f>
        <v>0</v>
      </c>
      <c r="I44" s="187"/>
      <c r="J44" s="188"/>
    </row>
    <row r="45" spans="1:10" x14ac:dyDescent="0.25">
      <c r="A45" s="182"/>
      <c r="B45" s="183"/>
      <c r="C45" s="218"/>
      <c r="D45" s="184" t="s">
        <v>380</v>
      </c>
      <c r="E45" s="184">
        <v>0</v>
      </c>
      <c r="F45" s="186">
        <v>60</v>
      </c>
      <c r="G45" s="186">
        <f t="shared" ref="G45:G51" si="5">F45*E45</f>
        <v>0</v>
      </c>
      <c r="I45" s="187"/>
      <c r="J45" s="188"/>
    </row>
    <row r="46" spans="1:10" x14ac:dyDescent="0.25">
      <c r="A46" s="182"/>
      <c r="B46" s="183"/>
      <c r="C46" s="184"/>
      <c r="D46" s="184" t="s">
        <v>381</v>
      </c>
      <c r="E46" s="184">
        <v>0.83</v>
      </c>
      <c r="F46" s="186">
        <v>50</v>
      </c>
      <c r="G46" s="186">
        <f t="shared" si="5"/>
        <v>41.5</v>
      </c>
      <c r="I46" s="187"/>
      <c r="J46" s="188"/>
    </row>
    <row r="47" spans="1:10" x14ac:dyDescent="0.25">
      <c r="A47" s="182"/>
      <c r="B47" s="183"/>
      <c r="C47" s="184"/>
      <c r="D47" s="184" t="s">
        <v>382</v>
      </c>
      <c r="E47" s="184">
        <v>2.3199999999999998</v>
      </c>
      <c r="F47" s="186">
        <v>50</v>
      </c>
      <c r="G47" s="186">
        <f t="shared" si="5"/>
        <v>115.99999999999999</v>
      </c>
      <c r="I47" s="187"/>
      <c r="J47" s="188"/>
    </row>
    <row r="48" spans="1:10" x14ac:dyDescent="0.25">
      <c r="A48" s="182"/>
      <c r="B48" s="183"/>
      <c r="C48" s="184"/>
      <c r="D48" s="184" t="s">
        <v>383</v>
      </c>
      <c r="E48" s="184">
        <v>2.2200000000000002</v>
      </c>
      <c r="F48" s="186">
        <v>50</v>
      </c>
      <c r="G48" s="186">
        <f t="shared" si="5"/>
        <v>111.00000000000001</v>
      </c>
      <c r="I48" s="187"/>
      <c r="J48" s="188"/>
    </row>
    <row r="49" spans="1:10" x14ac:dyDescent="0.25">
      <c r="A49" s="182"/>
      <c r="B49" s="183"/>
      <c r="C49" s="184"/>
      <c r="D49" s="184" t="s">
        <v>384</v>
      </c>
      <c r="E49" s="184">
        <v>0</v>
      </c>
      <c r="F49" s="186">
        <v>50</v>
      </c>
      <c r="G49" s="186">
        <f t="shared" si="5"/>
        <v>0</v>
      </c>
      <c r="I49" s="187"/>
      <c r="J49" s="188"/>
    </row>
    <row r="50" spans="1:10" x14ac:dyDescent="0.25">
      <c r="A50" s="182"/>
      <c r="B50" s="183"/>
      <c r="C50" s="184"/>
      <c r="D50" s="184" t="s">
        <v>385</v>
      </c>
      <c r="E50" s="184">
        <v>0</v>
      </c>
      <c r="F50" s="186"/>
      <c r="G50" s="186">
        <f t="shared" si="5"/>
        <v>0</v>
      </c>
      <c r="I50" s="187"/>
      <c r="J50" s="188"/>
    </row>
    <row r="51" spans="1:10" x14ac:dyDescent="0.25">
      <c r="A51" s="182"/>
      <c r="B51" s="183"/>
      <c r="C51" s="184"/>
      <c r="D51" s="184" t="s">
        <v>386</v>
      </c>
      <c r="E51" s="184">
        <v>0</v>
      </c>
      <c r="F51" s="221">
        <v>60</v>
      </c>
      <c r="G51" s="186">
        <f t="shared" si="5"/>
        <v>0</v>
      </c>
      <c r="I51" s="187"/>
      <c r="J51" s="188"/>
    </row>
    <row r="52" spans="1:10" x14ac:dyDescent="0.25">
      <c r="A52" s="210" t="s">
        <v>332</v>
      </c>
      <c r="B52" s="211" t="s">
        <v>333</v>
      </c>
      <c r="C52" s="206">
        <v>84.16</v>
      </c>
      <c r="D52" s="206"/>
      <c r="E52" s="206">
        <f>SUM(E53:E61)</f>
        <v>84.16</v>
      </c>
      <c r="F52" s="234"/>
      <c r="G52" s="235">
        <f>SUM(G53:G61)</f>
        <v>4418.5700000000006</v>
      </c>
      <c r="H52" s="213"/>
      <c r="I52" s="233">
        <v>2246.48</v>
      </c>
      <c r="J52" s="214">
        <f t="shared" si="2"/>
        <v>2172.0900000000006</v>
      </c>
    </row>
    <row r="53" spans="1:10" x14ac:dyDescent="0.25">
      <c r="A53" s="182"/>
      <c r="B53" s="183"/>
      <c r="C53" s="184"/>
      <c r="D53" s="184" t="s">
        <v>379</v>
      </c>
      <c r="E53" s="184">
        <v>9.35</v>
      </c>
      <c r="F53" s="186">
        <v>60</v>
      </c>
      <c r="G53" s="186">
        <f>F53*E53</f>
        <v>561</v>
      </c>
      <c r="I53" s="187"/>
      <c r="J53" s="188"/>
    </row>
    <row r="54" spans="1:10" x14ac:dyDescent="0.25">
      <c r="A54" s="182"/>
      <c r="B54" s="183"/>
      <c r="C54" s="184"/>
      <c r="D54" s="184" t="s">
        <v>380</v>
      </c>
      <c r="E54" s="184">
        <v>11.56</v>
      </c>
      <c r="F54" s="186">
        <v>60</v>
      </c>
      <c r="G54" s="186">
        <f t="shared" ref="G54:G61" si="6">F54*E54</f>
        <v>693.6</v>
      </c>
      <c r="I54" s="187"/>
      <c r="J54" s="188"/>
    </row>
    <row r="55" spans="1:10" x14ac:dyDescent="0.25">
      <c r="A55" s="182"/>
      <c r="B55" s="183"/>
      <c r="C55" s="184"/>
      <c r="D55" s="184" t="s">
        <v>381</v>
      </c>
      <c r="E55" s="184">
        <v>10.39</v>
      </c>
      <c r="F55" s="186">
        <v>50</v>
      </c>
      <c r="G55" s="186">
        <f t="shared" si="6"/>
        <v>519.5</v>
      </c>
      <c r="I55" s="187"/>
      <c r="J55" s="188"/>
    </row>
    <row r="56" spans="1:10" x14ac:dyDescent="0.25">
      <c r="A56" s="182"/>
      <c r="B56" s="183"/>
      <c r="C56" s="184"/>
      <c r="D56" s="184" t="s">
        <v>382</v>
      </c>
      <c r="E56" s="184">
        <v>27.49</v>
      </c>
      <c r="F56" s="186">
        <v>50</v>
      </c>
      <c r="G56" s="186">
        <f t="shared" si="6"/>
        <v>1374.5</v>
      </c>
      <c r="I56" s="187"/>
      <c r="J56" s="188"/>
    </row>
    <row r="57" spans="1:10" x14ac:dyDescent="0.25">
      <c r="A57" s="182"/>
      <c r="B57" s="183"/>
      <c r="C57" s="184"/>
      <c r="D57" s="184" t="s">
        <v>383</v>
      </c>
      <c r="E57" s="184">
        <v>4.1500000000000004</v>
      </c>
      <c r="F57" s="186">
        <v>50</v>
      </c>
      <c r="G57" s="186">
        <f t="shared" si="6"/>
        <v>207.50000000000003</v>
      </c>
      <c r="I57" s="187"/>
      <c r="J57" s="188"/>
    </row>
    <row r="58" spans="1:10" x14ac:dyDescent="0.25">
      <c r="A58" s="182"/>
      <c r="B58" s="183"/>
      <c r="C58" s="184"/>
      <c r="D58" s="184" t="s">
        <v>384</v>
      </c>
      <c r="E58" s="184">
        <v>19.75</v>
      </c>
      <c r="F58" s="186">
        <v>50</v>
      </c>
      <c r="G58" s="186">
        <f t="shared" si="6"/>
        <v>987.5</v>
      </c>
      <c r="I58" s="187"/>
      <c r="J58" s="188"/>
    </row>
    <row r="59" spans="1:10" x14ac:dyDescent="0.25">
      <c r="A59" s="182"/>
      <c r="B59" s="183"/>
      <c r="C59" s="184"/>
      <c r="D59" s="184" t="s">
        <v>448</v>
      </c>
      <c r="E59" s="184">
        <v>1.47</v>
      </c>
      <c r="F59" s="186">
        <v>51</v>
      </c>
      <c r="G59" s="186">
        <f t="shared" ref="G59" si="7">F59*E59</f>
        <v>74.97</v>
      </c>
      <c r="I59" s="187"/>
      <c r="J59" s="188"/>
    </row>
    <row r="60" spans="1:10" x14ac:dyDescent="0.25">
      <c r="A60" s="182"/>
      <c r="B60" s="183"/>
      <c r="C60" s="184"/>
      <c r="D60" s="184" t="s">
        <v>385</v>
      </c>
      <c r="E60" s="184">
        <v>0</v>
      </c>
      <c r="F60" s="186">
        <v>75</v>
      </c>
      <c r="G60" s="186">
        <f t="shared" si="6"/>
        <v>0</v>
      </c>
      <c r="I60" s="187"/>
      <c r="J60" s="188"/>
    </row>
    <row r="61" spans="1:10" x14ac:dyDescent="0.25">
      <c r="A61" s="182"/>
      <c r="B61" s="183"/>
      <c r="C61" s="184"/>
      <c r="D61" s="184" t="s">
        <v>386</v>
      </c>
      <c r="E61" s="184">
        <v>0</v>
      </c>
      <c r="F61" s="186">
        <v>60</v>
      </c>
      <c r="G61" s="186">
        <f t="shared" si="6"/>
        <v>0</v>
      </c>
      <c r="I61" s="187"/>
      <c r="J61" s="188"/>
    </row>
    <row r="62" spans="1:10" x14ac:dyDescent="0.25">
      <c r="A62" s="222" t="s">
        <v>341</v>
      </c>
      <c r="B62" s="211" t="s">
        <v>342</v>
      </c>
      <c r="C62" s="206">
        <v>153.82</v>
      </c>
      <c r="D62" s="206"/>
      <c r="E62" s="206">
        <f>SUM(E63:E70)</f>
        <v>153.82000000000002</v>
      </c>
      <c r="F62" s="216"/>
      <c r="G62" s="212">
        <f>SUM(G63:G70)</f>
        <v>8398.4000000000015</v>
      </c>
      <c r="H62" s="213"/>
      <c r="I62" s="208">
        <v>5724.11</v>
      </c>
      <c r="J62" s="214">
        <f t="shared" ref="J62" si="8">G62-I62</f>
        <v>2674.2900000000018</v>
      </c>
    </row>
    <row r="63" spans="1:10" x14ac:dyDescent="0.25">
      <c r="A63" s="182"/>
      <c r="B63" s="183"/>
      <c r="C63" s="184"/>
      <c r="D63" s="184" t="s">
        <v>379</v>
      </c>
      <c r="E63" s="184">
        <v>26.57</v>
      </c>
      <c r="F63" s="186">
        <v>60</v>
      </c>
      <c r="G63" s="186">
        <f>F63*E63</f>
        <v>1594.2</v>
      </c>
      <c r="I63" s="187"/>
      <c r="J63" s="188"/>
    </row>
    <row r="64" spans="1:10" x14ac:dyDescent="0.25">
      <c r="A64" s="182"/>
      <c r="B64" s="183"/>
      <c r="C64" s="184"/>
      <c r="D64" s="184" t="s">
        <v>380</v>
      </c>
      <c r="E64" s="184">
        <v>44.17</v>
      </c>
      <c r="F64" s="186">
        <v>60</v>
      </c>
      <c r="G64" s="186">
        <f t="shared" ref="G64:G70" si="9">F64*E64</f>
        <v>2650.2000000000003</v>
      </c>
      <c r="I64" s="187"/>
      <c r="J64" s="188"/>
    </row>
    <row r="65" spans="1:10" x14ac:dyDescent="0.25">
      <c r="A65" s="182"/>
      <c r="B65" s="183"/>
      <c r="C65" s="184"/>
      <c r="D65" s="184" t="s">
        <v>381</v>
      </c>
      <c r="E65" s="184">
        <v>60.74</v>
      </c>
      <c r="F65" s="186">
        <v>50</v>
      </c>
      <c r="G65" s="186">
        <f t="shared" si="9"/>
        <v>3037</v>
      </c>
      <c r="I65" s="187"/>
      <c r="J65" s="188"/>
    </row>
    <row r="66" spans="1:10" x14ac:dyDescent="0.25">
      <c r="A66" s="182"/>
      <c r="B66" s="183"/>
      <c r="C66" s="184"/>
      <c r="D66" s="184" t="s">
        <v>382</v>
      </c>
      <c r="E66" s="184">
        <v>22.34</v>
      </c>
      <c r="F66" s="186">
        <v>50</v>
      </c>
      <c r="G66" s="186">
        <f t="shared" si="9"/>
        <v>1117</v>
      </c>
      <c r="I66" s="187"/>
      <c r="J66" s="188"/>
    </row>
    <row r="67" spans="1:10" x14ac:dyDescent="0.25">
      <c r="A67" s="182"/>
      <c r="B67" s="183"/>
      <c r="C67" s="184"/>
      <c r="D67" s="184" t="s">
        <v>383</v>
      </c>
      <c r="E67" s="184">
        <v>0</v>
      </c>
      <c r="F67" s="186">
        <v>50</v>
      </c>
      <c r="G67" s="186">
        <f t="shared" si="9"/>
        <v>0</v>
      </c>
      <c r="I67" s="187"/>
      <c r="J67" s="188"/>
    </row>
    <row r="68" spans="1:10" x14ac:dyDescent="0.25">
      <c r="A68" s="182"/>
      <c r="B68" s="183"/>
      <c r="C68" s="184"/>
      <c r="D68" s="184" t="s">
        <v>384</v>
      </c>
      <c r="E68" s="184">
        <v>0</v>
      </c>
      <c r="F68" s="186">
        <v>50</v>
      </c>
      <c r="G68" s="186">
        <f t="shared" si="9"/>
        <v>0</v>
      </c>
      <c r="I68" s="187"/>
      <c r="J68" s="188"/>
    </row>
    <row r="69" spans="1:10" x14ac:dyDescent="0.25">
      <c r="A69" s="182"/>
      <c r="B69" s="183"/>
      <c r="C69" s="184"/>
      <c r="D69" s="184" t="s">
        <v>385</v>
      </c>
      <c r="E69" s="184">
        <v>0</v>
      </c>
      <c r="F69" s="186">
        <v>75</v>
      </c>
      <c r="G69" s="186">
        <f t="shared" si="9"/>
        <v>0</v>
      </c>
      <c r="I69" s="187"/>
      <c r="J69" s="188"/>
    </row>
    <row r="70" spans="1:10" x14ac:dyDescent="0.25">
      <c r="A70" s="189"/>
      <c r="B70" s="190"/>
      <c r="C70" s="191"/>
      <c r="D70" s="191" t="s">
        <v>386</v>
      </c>
      <c r="E70" s="191">
        <v>0</v>
      </c>
      <c r="F70" s="192">
        <v>60</v>
      </c>
      <c r="G70" s="192">
        <f t="shared" si="9"/>
        <v>0</v>
      </c>
      <c r="H70" s="179"/>
      <c r="I70" s="193"/>
      <c r="J70" s="194"/>
    </row>
    <row r="71" spans="1:10" x14ac:dyDescent="0.25">
      <c r="B71" s="185"/>
      <c r="C71" s="184">
        <f>SUM(C7:C70)</f>
        <v>1911.2199999999998</v>
      </c>
      <c r="D71" s="184"/>
      <c r="E71" s="184">
        <f>SUM(E52+E43+E34+E24+E8+E62)</f>
        <v>874.87</v>
      </c>
      <c r="F71" s="184"/>
      <c r="G71" s="186">
        <f>SUM(G7+G8+G12+G22+G23+G24+G34+G43+G52+G62)</f>
        <v>63911.319999999992</v>
      </c>
      <c r="I71" s="187">
        <f>SUM(I7+I8+I12+I22+I23+I24+I34+I43+I52+I62)</f>
        <v>99321.95</v>
      </c>
    </row>
    <row r="72" spans="1:10" x14ac:dyDescent="0.25">
      <c r="B72" s="185"/>
      <c r="C72" s="184"/>
      <c r="D72" s="184"/>
      <c r="E72" s="184"/>
      <c r="F72" s="184"/>
      <c r="G72" s="184"/>
      <c r="I72" s="185"/>
    </row>
    <row r="73" spans="1:10" x14ac:dyDescent="0.25">
      <c r="A73" s="182" t="s">
        <v>388</v>
      </c>
      <c r="B73" s="183" t="s">
        <v>389</v>
      </c>
      <c r="C73" s="184"/>
      <c r="D73" s="184"/>
      <c r="E73" s="184"/>
      <c r="F73" s="184"/>
      <c r="G73" s="184"/>
      <c r="I73" s="185"/>
    </row>
    <row r="74" spans="1:10" x14ac:dyDescent="0.25">
      <c r="A74" s="210" t="s">
        <v>156</v>
      </c>
      <c r="B74" s="211" t="s">
        <v>390</v>
      </c>
      <c r="C74" s="219">
        <v>10.45</v>
      </c>
      <c r="D74" s="219"/>
      <c r="E74" s="219">
        <f>SUM(E75:E82)</f>
        <v>10.450000000000001</v>
      </c>
      <c r="F74" s="220"/>
      <c r="G74" s="208">
        <f>SUM(G75:G82)</f>
        <v>627</v>
      </c>
      <c r="H74" s="213"/>
      <c r="I74" s="208">
        <v>433.2</v>
      </c>
      <c r="J74" s="214">
        <f>G74-I74</f>
        <v>193.8</v>
      </c>
    </row>
    <row r="75" spans="1:10" x14ac:dyDescent="0.25">
      <c r="A75" s="182"/>
      <c r="B75" s="183"/>
      <c r="C75" s="185"/>
      <c r="D75" s="184" t="s">
        <v>379</v>
      </c>
      <c r="E75" s="185">
        <v>1.05</v>
      </c>
      <c r="F75" s="186">
        <v>60</v>
      </c>
      <c r="G75" s="187">
        <f>F75*E75</f>
        <v>63</v>
      </c>
      <c r="I75" s="187"/>
      <c r="J75" s="188"/>
    </row>
    <row r="76" spans="1:10" x14ac:dyDescent="0.25">
      <c r="A76" s="182"/>
      <c r="B76" s="183"/>
      <c r="C76" s="184"/>
      <c r="D76" s="184" t="s">
        <v>380</v>
      </c>
      <c r="E76" s="184">
        <v>9.4</v>
      </c>
      <c r="F76" s="186">
        <v>60</v>
      </c>
      <c r="G76" s="187">
        <f t="shared" ref="G76:G82" si="10">F76*E76</f>
        <v>564</v>
      </c>
      <c r="I76" s="187"/>
      <c r="J76" s="188"/>
    </row>
    <row r="77" spans="1:10" x14ac:dyDescent="0.25">
      <c r="A77" s="182"/>
      <c r="B77" s="183"/>
      <c r="C77" s="184"/>
      <c r="D77" s="184" t="s">
        <v>381</v>
      </c>
      <c r="E77" s="184">
        <v>0</v>
      </c>
      <c r="F77" s="186">
        <v>50</v>
      </c>
      <c r="G77" s="187">
        <f t="shared" si="10"/>
        <v>0</v>
      </c>
      <c r="I77" s="187"/>
      <c r="J77" s="188"/>
    </row>
    <row r="78" spans="1:10" x14ac:dyDescent="0.25">
      <c r="A78" s="182"/>
      <c r="B78" s="183"/>
      <c r="C78" s="184"/>
      <c r="D78" s="184" t="s">
        <v>382</v>
      </c>
      <c r="E78" s="184">
        <v>0</v>
      </c>
      <c r="F78" s="186">
        <v>50</v>
      </c>
      <c r="G78" s="187">
        <f t="shared" si="10"/>
        <v>0</v>
      </c>
      <c r="I78" s="187"/>
      <c r="J78" s="188"/>
    </row>
    <row r="79" spans="1:10" x14ac:dyDescent="0.25">
      <c r="A79" s="182"/>
      <c r="B79" s="183"/>
      <c r="C79" s="184"/>
      <c r="D79" s="184" t="s">
        <v>383</v>
      </c>
      <c r="E79" s="184">
        <v>0</v>
      </c>
      <c r="F79" s="186">
        <v>50</v>
      </c>
      <c r="G79" s="187">
        <f t="shared" si="10"/>
        <v>0</v>
      </c>
      <c r="I79" s="187"/>
      <c r="J79" s="188"/>
    </row>
    <row r="80" spans="1:10" x14ac:dyDescent="0.25">
      <c r="A80" s="182"/>
      <c r="B80" s="183"/>
      <c r="C80" s="184"/>
      <c r="D80" s="184" t="s">
        <v>384</v>
      </c>
      <c r="E80" s="184">
        <v>0</v>
      </c>
      <c r="F80" s="186">
        <v>50</v>
      </c>
      <c r="G80" s="187">
        <f t="shared" si="10"/>
        <v>0</v>
      </c>
      <c r="I80" s="187"/>
      <c r="J80" s="188"/>
    </row>
    <row r="81" spans="1:10" x14ac:dyDescent="0.25">
      <c r="A81" s="182"/>
      <c r="B81" s="183"/>
      <c r="C81" s="184"/>
      <c r="D81" s="184" t="s">
        <v>385</v>
      </c>
      <c r="E81" s="184">
        <v>0</v>
      </c>
      <c r="F81" s="186">
        <v>75</v>
      </c>
      <c r="G81" s="187">
        <f t="shared" si="10"/>
        <v>0</v>
      </c>
      <c r="I81" s="187"/>
      <c r="J81" s="188"/>
    </row>
    <row r="82" spans="1:10" x14ac:dyDescent="0.25">
      <c r="A82" s="189"/>
      <c r="B82" s="190"/>
      <c r="C82" s="191"/>
      <c r="D82" s="191" t="s">
        <v>386</v>
      </c>
      <c r="E82" s="191">
        <v>0</v>
      </c>
      <c r="F82" s="192">
        <v>60</v>
      </c>
      <c r="G82" s="192">
        <f t="shared" si="10"/>
        <v>0</v>
      </c>
      <c r="H82" s="179"/>
      <c r="I82" s="193"/>
      <c r="J82" s="194"/>
    </row>
    <row r="83" spans="1:10" x14ac:dyDescent="0.25">
      <c r="A83" s="182"/>
      <c r="B83" s="183"/>
      <c r="C83" s="184">
        <f>SUM(C74)</f>
        <v>10.45</v>
      </c>
      <c r="D83" s="184"/>
      <c r="E83" s="184">
        <f>SUM(E74)</f>
        <v>10.450000000000001</v>
      </c>
      <c r="F83" s="184"/>
      <c r="G83" s="186">
        <f>SUM(G74)</f>
        <v>627</v>
      </c>
      <c r="I83" s="187">
        <f>SUM(I74)</f>
        <v>433.2</v>
      </c>
    </row>
    <row r="84" spans="1:10" x14ac:dyDescent="0.25">
      <c r="A84" s="182"/>
      <c r="B84" s="183"/>
      <c r="C84" s="184"/>
      <c r="D84" s="184"/>
      <c r="E84" s="184"/>
      <c r="F84" s="184"/>
      <c r="G84" s="186"/>
      <c r="I84" s="187"/>
    </row>
    <row r="85" spans="1:10" x14ac:dyDescent="0.25">
      <c r="A85" s="182" t="s">
        <v>391</v>
      </c>
      <c r="B85" s="183" t="s">
        <v>368</v>
      </c>
      <c r="C85" s="184"/>
      <c r="D85" s="184"/>
      <c r="E85" s="184"/>
      <c r="F85" s="184"/>
      <c r="G85" s="184"/>
      <c r="I85" s="185"/>
    </row>
    <row r="86" spans="1:10" x14ac:dyDescent="0.25">
      <c r="A86" s="210" t="s">
        <v>343</v>
      </c>
      <c r="B86" s="211" t="s">
        <v>344</v>
      </c>
      <c r="C86" s="219">
        <v>4.67</v>
      </c>
      <c r="D86" s="219"/>
      <c r="E86" s="219">
        <f>SUM(E87:E94)</f>
        <v>4.67</v>
      </c>
      <c r="F86" s="220"/>
      <c r="G86" s="208">
        <f>SUM(G87:G94)</f>
        <v>250.5</v>
      </c>
      <c r="H86" s="213"/>
      <c r="I86" s="208">
        <v>121.29</v>
      </c>
      <c r="J86" s="214">
        <f>G86-I86</f>
        <v>129.20999999999998</v>
      </c>
    </row>
    <row r="87" spans="1:10" x14ac:dyDescent="0.25">
      <c r="A87" s="182"/>
      <c r="B87" s="183"/>
      <c r="C87" s="185"/>
      <c r="D87" s="184" t="s">
        <v>379</v>
      </c>
      <c r="E87" s="185">
        <v>0</v>
      </c>
      <c r="F87" s="186">
        <v>60</v>
      </c>
      <c r="G87" s="187">
        <f>F87*E87</f>
        <v>0</v>
      </c>
      <c r="I87" s="187"/>
      <c r="J87" s="188"/>
    </row>
    <row r="88" spans="1:10" x14ac:dyDescent="0.25">
      <c r="A88" s="182"/>
      <c r="B88" s="183"/>
      <c r="C88" s="184"/>
      <c r="D88" s="184" t="s">
        <v>380</v>
      </c>
      <c r="E88" s="184">
        <v>1.7</v>
      </c>
      <c r="F88" s="186">
        <v>60</v>
      </c>
      <c r="G88" s="187">
        <f t="shared" ref="G88:G94" si="11">F88*E88</f>
        <v>102</v>
      </c>
      <c r="I88" s="187"/>
      <c r="J88" s="188"/>
    </row>
    <row r="89" spans="1:10" x14ac:dyDescent="0.25">
      <c r="A89" s="182"/>
      <c r="B89" s="183"/>
      <c r="C89" s="184"/>
      <c r="D89" s="184" t="s">
        <v>381</v>
      </c>
      <c r="E89" s="184">
        <v>0</v>
      </c>
      <c r="F89" s="186">
        <v>50</v>
      </c>
      <c r="G89" s="187">
        <f t="shared" si="11"/>
        <v>0</v>
      </c>
      <c r="I89" s="187"/>
      <c r="J89" s="188"/>
    </row>
    <row r="90" spans="1:10" x14ac:dyDescent="0.25">
      <c r="A90" s="182"/>
      <c r="B90" s="183"/>
      <c r="C90" s="184"/>
      <c r="D90" s="184" t="s">
        <v>382</v>
      </c>
      <c r="E90" s="184">
        <v>2.97</v>
      </c>
      <c r="F90" s="186">
        <v>50</v>
      </c>
      <c r="G90" s="187">
        <f t="shared" si="11"/>
        <v>148.5</v>
      </c>
      <c r="I90" s="187"/>
      <c r="J90" s="188"/>
    </row>
    <row r="91" spans="1:10" x14ac:dyDescent="0.25">
      <c r="A91" s="182"/>
      <c r="B91" s="183"/>
      <c r="C91" s="184"/>
      <c r="D91" s="184" t="s">
        <v>383</v>
      </c>
      <c r="E91" s="184">
        <v>0</v>
      </c>
      <c r="F91" s="186">
        <v>50</v>
      </c>
      <c r="G91" s="187">
        <f t="shared" si="11"/>
        <v>0</v>
      </c>
      <c r="I91" s="187"/>
      <c r="J91" s="188"/>
    </row>
    <row r="92" spans="1:10" x14ac:dyDescent="0.25">
      <c r="A92" s="182"/>
      <c r="B92" s="183"/>
      <c r="C92" s="184"/>
      <c r="D92" s="184" t="s">
        <v>384</v>
      </c>
      <c r="E92" s="184">
        <v>0</v>
      </c>
      <c r="F92" s="186">
        <v>50</v>
      </c>
      <c r="G92" s="187">
        <f t="shared" si="11"/>
        <v>0</v>
      </c>
      <c r="I92" s="187"/>
      <c r="J92" s="188"/>
    </row>
    <row r="93" spans="1:10" x14ac:dyDescent="0.25">
      <c r="A93" s="182"/>
      <c r="B93" s="183"/>
      <c r="C93" s="184"/>
      <c r="D93" s="184" t="s">
        <v>385</v>
      </c>
      <c r="E93" s="184">
        <v>0</v>
      </c>
      <c r="F93" s="186">
        <v>75</v>
      </c>
      <c r="G93" s="187">
        <f t="shared" si="11"/>
        <v>0</v>
      </c>
      <c r="I93" s="187"/>
      <c r="J93" s="188"/>
    </row>
    <row r="94" spans="1:10" x14ac:dyDescent="0.25">
      <c r="A94" s="189"/>
      <c r="B94" s="190"/>
      <c r="C94" s="191"/>
      <c r="D94" s="191" t="s">
        <v>386</v>
      </c>
      <c r="E94" s="191">
        <v>0</v>
      </c>
      <c r="F94" s="192">
        <v>60</v>
      </c>
      <c r="G94" s="192">
        <f t="shared" si="11"/>
        <v>0</v>
      </c>
      <c r="H94" s="179"/>
      <c r="I94" s="193"/>
      <c r="J94" s="194"/>
    </row>
    <row r="95" spans="1:10" x14ac:dyDescent="0.25">
      <c r="A95" s="182"/>
      <c r="B95" s="183"/>
      <c r="C95" s="184">
        <f>SUM(C86)</f>
        <v>4.67</v>
      </c>
      <c r="D95" s="184"/>
      <c r="E95" s="184">
        <f>SUM(E86)</f>
        <v>4.67</v>
      </c>
      <c r="F95" s="184"/>
      <c r="G95" s="186">
        <f>SUM(G86)</f>
        <v>250.5</v>
      </c>
      <c r="I95" s="187">
        <f>SUM(I86)</f>
        <v>121.29</v>
      </c>
    </row>
    <row r="96" spans="1:10" x14ac:dyDescent="0.25">
      <c r="A96" s="182"/>
      <c r="B96" s="183"/>
      <c r="C96" s="184"/>
      <c r="D96" s="184"/>
      <c r="E96" s="184"/>
      <c r="F96" s="184"/>
      <c r="G96" s="186"/>
      <c r="I96" s="187"/>
    </row>
    <row r="97" spans="1:10" x14ac:dyDescent="0.25">
      <c r="A97" s="182" t="s">
        <v>387</v>
      </c>
      <c r="B97" s="183" t="s">
        <v>369</v>
      </c>
      <c r="C97" s="184"/>
      <c r="D97" s="184"/>
      <c r="E97" s="184"/>
      <c r="F97" s="184"/>
      <c r="G97" s="184"/>
      <c r="I97" s="185"/>
    </row>
    <row r="98" spans="1:10" x14ac:dyDescent="0.25">
      <c r="A98" s="210" t="s">
        <v>172</v>
      </c>
      <c r="B98" s="211" t="s">
        <v>173</v>
      </c>
      <c r="C98" s="219">
        <v>155.06</v>
      </c>
      <c r="D98" s="219"/>
      <c r="E98" s="219">
        <f>SUM(E99:E108)</f>
        <v>155.06</v>
      </c>
      <c r="F98" s="220"/>
      <c r="G98" s="208">
        <f>SUM(G100:G108)</f>
        <v>8368.2999999999993</v>
      </c>
      <c r="H98" s="213"/>
      <c r="I98" s="208">
        <v>5523.98</v>
      </c>
      <c r="J98" s="214">
        <f>G98-I98</f>
        <v>2844.3199999999997</v>
      </c>
    </row>
    <row r="99" spans="1:10" x14ac:dyDescent="0.25">
      <c r="A99" s="224"/>
      <c r="B99" s="223"/>
      <c r="C99" s="225"/>
      <c r="D99" s="184" t="s">
        <v>377</v>
      </c>
      <c r="E99" s="184">
        <v>2.57</v>
      </c>
      <c r="F99" s="186">
        <v>85</v>
      </c>
      <c r="G99" s="186">
        <f>F99*E99</f>
        <v>218.45</v>
      </c>
      <c r="I99" s="187"/>
      <c r="J99" s="226"/>
    </row>
    <row r="100" spans="1:10" x14ac:dyDescent="0.25">
      <c r="A100" s="182"/>
      <c r="B100" s="183"/>
      <c r="C100" s="184"/>
      <c r="D100" s="184" t="s">
        <v>379</v>
      </c>
      <c r="E100" s="184">
        <v>25.47</v>
      </c>
      <c r="F100" s="186">
        <v>60</v>
      </c>
      <c r="G100" s="186">
        <f>F100*E100</f>
        <v>1528.1999999999998</v>
      </c>
      <c r="I100" s="187"/>
      <c r="J100" s="188"/>
    </row>
    <row r="101" spans="1:10" x14ac:dyDescent="0.25">
      <c r="A101" s="182"/>
      <c r="B101" s="183"/>
      <c r="C101" s="184"/>
      <c r="D101" s="184" t="s">
        <v>380</v>
      </c>
      <c r="E101" s="184">
        <v>48.91</v>
      </c>
      <c r="F101" s="186">
        <v>60</v>
      </c>
      <c r="G101" s="186">
        <f t="shared" ref="G101:G108" si="12">F101*E101</f>
        <v>2934.6</v>
      </c>
      <c r="I101" s="187"/>
      <c r="J101" s="188"/>
    </row>
    <row r="102" spans="1:10" x14ac:dyDescent="0.25">
      <c r="A102" s="182"/>
      <c r="B102" s="183"/>
      <c r="C102" s="184"/>
      <c r="D102" s="184" t="s">
        <v>381</v>
      </c>
      <c r="E102" s="184">
        <v>21.95</v>
      </c>
      <c r="F102" s="186">
        <v>50</v>
      </c>
      <c r="G102" s="186">
        <f t="shared" si="12"/>
        <v>1097.5</v>
      </c>
      <c r="I102" s="187"/>
      <c r="J102" s="188"/>
    </row>
    <row r="103" spans="1:10" x14ac:dyDescent="0.25">
      <c r="A103" s="182"/>
      <c r="B103" s="183"/>
      <c r="C103" s="184"/>
      <c r="D103" s="184" t="s">
        <v>382</v>
      </c>
      <c r="E103" s="184">
        <v>20.260000000000002</v>
      </c>
      <c r="F103" s="186">
        <v>50</v>
      </c>
      <c r="G103" s="186">
        <f t="shared" si="12"/>
        <v>1013.0000000000001</v>
      </c>
      <c r="I103" s="187"/>
      <c r="J103" s="188"/>
    </row>
    <row r="104" spans="1:10" x14ac:dyDescent="0.25">
      <c r="A104" s="182"/>
      <c r="B104" s="183"/>
      <c r="C104" s="184"/>
      <c r="D104" s="184" t="s">
        <v>383</v>
      </c>
      <c r="E104" s="184">
        <v>26.7</v>
      </c>
      <c r="F104" s="186">
        <v>50</v>
      </c>
      <c r="G104" s="186">
        <f t="shared" si="12"/>
        <v>1335</v>
      </c>
      <c r="I104" s="187"/>
      <c r="J104" s="188"/>
    </row>
    <row r="105" spans="1:10" x14ac:dyDescent="0.25">
      <c r="A105" s="182"/>
      <c r="B105" s="183"/>
      <c r="C105" s="184"/>
      <c r="D105" s="184" t="s">
        <v>384</v>
      </c>
      <c r="E105" s="184">
        <v>6.55</v>
      </c>
      <c r="F105" s="186">
        <v>50</v>
      </c>
      <c r="G105" s="186">
        <f t="shared" si="12"/>
        <v>327.5</v>
      </c>
      <c r="I105" s="187"/>
      <c r="J105" s="188"/>
    </row>
    <row r="106" spans="1:10" x14ac:dyDescent="0.25">
      <c r="A106" s="182"/>
      <c r="B106" s="183"/>
      <c r="C106" s="184"/>
      <c r="D106" s="184" t="s">
        <v>414</v>
      </c>
      <c r="E106" s="184">
        <v>2.65</v>
      </c>
      <c r="F106" s="186">
        <v>50</v>
      </c>
      <c r="G106" s="186">
        <f t="shared" si="12"/>
        <v>132.5</v>
      </c>
      <c r="I106" s="187"/>
      <c r="J106" s="188"/>
    </row>
    <row r="107" spans="1:10" x14ac:dyDescent="0.25">
      <c r="A107" s="182"/>
      <c r="B107" s="183"/>
      <c r="C107" s="184"/>
      <c r="D107" s="184" t="s">
        <v>385</v>
      </c>
      <c r="E107" s="184">
        <v>0</v>
      </c>
      <c r="F107" s="186">
        <v>75</v>
      </c>
      <c r="G107" s="186">
        <f t="shared" si="12"/>
        <v>0</v>
      </c>
      <c r="I107" s="187"/>
      <c r="J107" s="188"/>
    </row>
    <row r="108" spans="1:10" x14ac:dyDescent="0.25">
      <c r="A108" s="189"/>
      <c r="B108" s="190"/>
      <c r="C108" s="191"/>
      <c r="D108" s="191" t="s">
        <v>386</v>
      </c>
      <c r="E108" s="191">
        <v>0</v>
      </c>
      <c r="F108" s="192">
        <v>60</v>
      </c>
      <c r="G108" s="192">
        <f t="shared" si="12"/>
        <v>0</v>
      </c>
      <c r="H108" s="179"/>
      <c r="I108" s="193"/>
      <c r="J108" s="194"/>
    </row>
    <row r="109" spans="1:10" x14ac:dyDescent="0.25">
      <c r="A109" s="210" t="s">
        <v>174</v>
      </c>
      <c r="B109" s="211" t="s">
        <v>370</v>
      </c>
      <c r="C109" s="219">
        <v>9.85</v>
      </c>
      <c r="D109" s="219"/>
      <c r="E109" s="219">
        <f>SUM(E110:E117)</f>
        <v>9.8500000000000014</v>
      </c>
      <c r="F109" s="220"/>
      <c r="G109" s="208">
        <f>SUM(G110:G117)</f>
        <v>492.5</v>
      </c>
      <c r="H109" s="213"/>
      <c r="I109" s="208">
        <v>202.92</v>
      </c>
      <c r="J109" s="214">
        <f>G109-I109</f>
        <v>289.58000000000004</v>
      </c>
    </row>
    <row r="110" spans="1:10" x14ac:dyDescent="0.25">
      <c r="A110" s="182"/>
      <c r="B110" s="183"/>
      <c r="C110" s="184"/>
      <c r="D110" s="184" t="s">
        <v>379</v>
      </c>
      <c r="E110" s="184">
        <v>0</v>
      </c>
      <c r="F110" s="186">
        <v>60</v>
      </c>
      <c r="G110" s="186">
        <f>F110*E110</f>
        <v>0</v>
      </c>
      <c r="I110" s="187"/>
      <c r="J110" s="188"/>
    </row>
    <row r="111" spans="1:10" x14ac:dyDescent="0.25">
      <c r="A111" s="182"/>
      <c r="B111" s="183"/>
      <c r="C111" s="184"/>
      <c r="D111" s="184" t="s">
        <v>380</v>
      </c>
      <c r="E111" s="184">
        <v>0</v>
      </c>
      <c r="F111" s="186">
        <v>60</v>
      </c>
      <c r="G111" s="186">
        <f t="shared" ref="G111:G117" si="13">F111*E111</f>
        <v>0</v>
      </c>
      <c r="I111" s="187"/>
      <c r="J111" s="188"/>
    </row>
    <row r="112" spans="1:10" x14ac:dyDescent="0.25">
      <c r="A112" s="182"/>
      <c r="B112" s="183"/>
      <c r="C112" s="184"/>
      <c r="D112" s="184" t="s">
        <v>381</v>
      </c>
      <c r="E112" s="184">
        <v>0</v>
      </c>
      <c r="F112" s="186">
        <v>50</v>
      </c>
      <c r="G112" s="186">
        <f t="shared" si="13"/>
        <v>0</v>
      </c>
      <c r="I112" s="187"/>
      <c r="J112" s="188"/>
    </row>
    <row r="113" spans="1:10" x14ac:dyDescent="0.25">
      <c r="A113" s="182"/>
      <c r="B113" s="183"/>
      <c r="C113" s="184"/>
      <c r="D113" s="184" t="s">
        <v>382</v>
      </c>
      <c r="E113" s="184">
        <v>4.82</v>
      </c>
      <c r="F113" s="186">
        <v>50</v>
      </c>
      <c r="G113" s="186">
        <f t="shared" si="13"/>
        <v>241</v>
      </c>
      <c r="I113" s="187"/>
      <c r="J113" s="188"/>
    </row>
    <row r="114" spans="1:10" x14ac:dyDescent="0.25">
      <c r="A114" s="182"/>
      <c r="B114" s="183"/>
      <c r="C114" s="184"/>
      <c r="D114" s="184" t="s">
        <v>383</v>
      </c>
      <c r="E114" s="184">
        <v>5.03</v>
      </c>
      <c r="F114" s="186">
        <v>50</v>
      </c>
      <c r="G114" s="186">
        <f t="shared" si="13"/>
        <v>251.5</v>
      </c>
      <c r="I114" s="187"/>
      <c r="J114" s="188"/>
    </row>
    <row r="115" spans="1:10" x14ac:dyDescent="0.25">
      <c r="A115" s="182"/>
      <c r="B115" s="183"/>
      <c r="C115" s="184"/>
      <c r="D115" s="184" t="s">
        <v>384</v>
      </c>
      <c r="E115" s="184">
        <v>0</v>
      </c>
      <c r="F115" s="186">
        <v>50</v>
      </c>
      <c r="G115" s="186">
        <f t="shared" si="13"/>
        <v>0</v>
      </c>
      <c r="I115" s="187"/>
      <c r="J115" s="188"/>
    </row>
    <row r="116" spans="1:10" x14ac:dyDescent="0.25">
      <c r="A116" s="182"/>
      <c r="B116" s="183"/>
      <c r="C116" s="184"/>
      <c r="D116" s="184" t="s">
        <v>385</v>
      </c>
      <c r="E116" s="184">
        <v>0</v>
      </c>
      <c r="F116" s="186">
        <v>75</v>
      </c>
      <c r="G116" s="186">
        <f t="shared" si="13"/>
        <v>0</v>
      </c>
      <c r="I116" s="187"/>
      <c r="J116" s="188"/>
    </row>
    <row r="117" spans="1:10" x14ac:dyDescent="0.25">
      <c r="A117" s="189"/>
      <c r="B117" s="190"/>
      <c r="C117" s="191"/>
      <c r="D117" s="191" t="s">
        <v>386</v>
      </c>
      <c r="E117" s="191">
        <v>0</v>
      </c>
      <c r="F117" s="192">
        <v>60</v>
      </c>
      <c r="G117" s="192">
        <f t="shared" si="13"/>
        <v>0</v>
      </c>
      <c r="H117" s="179"/>
      <c r="I117" s="193"/>
      <c r="J117" s="194"/>
    </row>
    <row r="118" spans="1:10" x14ac:dyDescent="0.25">
      <c r="A118" s="210" t="s">
        <v>178</v>
      </c>
      <c r="B118" s="211" t="s">
        <v>179</v>
      </c>
      <c r="C118" s="219">
        <v>3.42</v>
      </c>
      <c r="D118" s="219"/>
      <c r="E118" s="219">
        <f>SUM(E119:E126)</f>
        <v>3.42</v>
      </c>
      <c r="F118" s="220"/>
      <c r="G118" s="208">
        <f>SUM(G119:G126)</f>
        <v>205.2</v>
      </c>
      <c r="H118" s="213"/>
      <c r="I118" s="208">
        <v>172.08</v>
      </c>
      <c r="J118" s="214">
        <f>G118-I118</f>
        <v>33.119999999999976</v>
      </c>
    </row>
    <row r="119" spans="1:10" x14ac:dyDescent="0.25">
      <c r="A119" s="182"/>
      <c r="B119" s="183"/>
      <c r="C119" s="184"/>
      <c r="D119" s="184" t="s">
        <v>379</v>
      </c>
      <c r="E119" s="184">
        <v>3.42</v>
      </c>
      <c r="F119" s="186">
        <v>60</v>
      </c>
      <c r="G119" s="186">
        <f>F119*E119</f>
        <v>205.2</v>
      </c>
      <c r="I119" s="187"/>
      <c r="J119" s="188"/>
    </row>
    <row r="120" spans="1:10" x14ac:dyDescent="0.25">
      <c r="A120" s="182"/>
      <c r="B120" s="183"/>
      <c r="C120" s="184"/>
      <c r="D120" s="184" t="s">
        <v>380</v>
      </c>
      <c r="E120" s="184">
        <v>0</v>
      </c>
      <c r="F120" s="186">
        <v>60</v>
      </c>
      <c r="G120" s="186">
        <f t="shared" ref="G120:G126" si="14">F120*E120</f>
        <v>0</v>
      </c>
      <c r="I120" s="187"/>
      <c r="J120" s="188"/>
    </row>
    <row r="121" spans="1:10" x14ac:dyDescent="0.25">
      <c r="A121" s="182"/>
      <c r="B121" s="183"/>
      <c r="C121" s="184"/>
      <c r="D121" s="184" t="s">
        <v>381</v>
      </c>
      <c r="E121" s="184">
        <v>0</v>
      </c>
      <c r="F121" s="186">
        <v>50</v>
      </c>
      <c r="G121" s="186">
        <f t="shared" si="14"/>
        <v>0</v>
      </c>
      <c r="I121" s="187"/>
      <c r="J121" s="188"/>
    </row>
    <row r="122" spans="1:10" x14ac:dyDescent="0.25">
      <c r="A122" s="182"/>
      <c r="B122" s="183"/>
      <c r="C122" s="184"/>
      <c r="D122" s="184" t="s">
        <v>382</v>
      </c>
      <c r="E122" s="184">
        <v>0</v>
      </c>
      <c r="F122" s="186">
        <v>50</v>
      </c>
      <c r="G122" s="186">
        <f t="shared" si="14"/>
        <v>0</v>
      </c>
      <c r="I122" s="187"/>
      <c r="J122" s="188"/>
    </row>
    <row r="123" spans="1:10" x14ac:dyDescent="0.25">
      <c r="A123" s="182"/>
      <c r="B123" s="183"/>
      <c r="C123" s="184"/>
      <c r="D123" s="184" t="s">
        <v>383</v>
      </c>
      <c r="E123" s="184">
        <v>0</v>
      </c>
      <c r="F123" s="186">
        <v>50</v>
      </c>
      <c r="G123" s="186">
        <f t="shared" si="14"/>
        <v>0</v>
      </c>
      <c r="I123" s="187"/>
      <c r="J123" s="188"/>
    </row>
    <row r="124" spans="1:10" x14ac:dyDescent="0.25">
      <c r="A124" s="182"/>
      <c r="B124" s="183"/>
      <c r="C124" s="184"/>
      <c r="D124" s="184" t="s">
        <v>384</v>
      </c>
      <c r="E124" s="184">
        <v>0</v>
      </c>
      <c r="F124" s="186">
        <v>50</v>
      </c>
      <c r="G124" s="186">
        <f t="shared" si="14"/>
        <v>0</v>
      </c>
      <c r="I124" s="187"/>
      <c r="J124" s="188"/>
    </row>
    <row r="125" spans="1:10" x14ac:dyDescent="0.25">
      <c r="A125" s="182"/>
      <c r="B125" s="183"/>
      <c r="C125" s="184"/>
      <c r="D125" s="184" t="s">
        <v>385</v>
      </c>
      <c r="E125" s="184">
        <v>0</v>
      </c>
      <c r="F125" s="186">
        <v>75</v>
      </c>
      <c r="G125" s="186">
        <f t="shared" si="14"/>
        <v>0</v>
      </c>
      <c r="I125" s="187"/>
      <c r="J125" s="188"/>
    </row>
    <row r="126" spans="1:10" x14ac:dyDescent="0.25">
      <c r="A126" s="189"/>
      <c r="B126" s="190"/>
      <c r="C126" s="191"/>
      <c r="D126" s="191" t="s">
        <v>386</v>
      </c>
      <c r="E126" s="191">
        <v>0</v>
      </c>
      <c r="F126" s="192">
        <v>60</v>
      </c>
      <c r="G126" s="192">
        <f t="shared" si="14"/>
        <v>0</v>
      </c>
      <c r="H126" s="179"/>
      <c r="I126" s="193"/>
      <c r="J126" s="194"/>
    </row>
    <row r="127" spans="1:10" x14ac:dyDescent="0.25">
      <c r="A127" s="182"/>
      <c r="B127" s="183"/>
      <c r="C127" s="184">
        <f>SUM(C98:C126)</f>
        <v>168.32999999999998</v>
      </c>
      <c r="D127" s="184"/>
      <c r="E127" s="184">
        <f>SUM(E98+E109+E118)</f>
        <v>168.32999999999998</v>
      </c>
      <c r="F127" s="184"/>
      <c r="G127" s="186">
        <f>SUM(G98+G109+G118)</f>
        <v>9066</v>
      </c>
      <c r="I127" s="187">
        <f>SUM(I98+I109+I118)</f>
        <v>5898.98</v>
      </c>
    </row>
    <row r="128" spans="1:10" x14ac:dyDescent="0.25">
      <c r="A128" s="182"/>
      <c r="B128" s="183"/>
      <c r="C128" s="184"/>
      <c r="D128" s="184"/>
      <c r="E128" s="184"/>
      <c r="F128" s="184"/>
      <c r="G128" s="184"/>
      <c r="I128" s="185"/>
    </row>
    <row r="129" spans="1:10" x14ac:dyDescent="0.25">
      <c r="A129" s="182" t="s">
        <v>392</v>
      </c>
      <c r="B129" s="183" t="s">
        <v>371</v>
      </c>
      <c r="C129" s="184"/>
      <c r="D129" s="184"/>
      <c r="E129" s="184"/>
      <c r="F129" s="184"/>
      <c r="G129" s="184"/>
      <c r="I129" s="185"/>
    </row>
    <row r="130" spans="1:10" x14ac:dyDescent="0.25">
      <c r="A130" s="210" t="s">
        <v>186</v>
      </c>
      <c r="B130" s="211" t="s">
        <v>187</v>
      </c>
      <c r="C130" s="219">
        <v>3.33</v>
      </c>
      <c r="D130" s="219"/>
      <c r="E130" s="219">
        <f>SUM(E131:E138)</f>
        <v>3.33</v>
      </c>
      <c r="F130" s="220"/>
      <c r="G130" s="208">
        <f>SUM(G131:G138)</f>
        <v>199.8</v>
      </c>
      <c r="H130" s="213"/>
      <c r="I130" s="208">
        <v>138.66999999999999</v>
      </c>
      <c r="J130" s="214">
        <f>G130-I130</f>
        <v>61.130000000000024</v>
      </c>
    </row>
    <row r="131" spans="1:10" x14ac:dyDescent="0.25">
      <c r="A131" s="182"/>
      <c r="B131" s="183"/>
      <c r="C131" s="184"/>
      <c r="D131" s="184" t="s">
        <v>379</v>
      </c>
      <c r="E131" s="184">
        <v>0</v>
      </c>
      <c r="F131" s="186">
        <v>60</v>
      </c>
      <c r="G131" s="186">
        <f>F131*E131</f>
        <v>0</v>
      </c>
      <c r="I131" s="187"/>
      <c r="J131" s="188"/>
    </row>
    <row r="132" spans="1:10" x14ac:dyDescent="0.25">
      <c r="A132" s="182"/>
      <c r="B132" s="183"/>
      <c r="C132" s="184"/>
      <c r="D132" s="184" t="s">
        <v>380</v>
      </c>
      <c r="E132" s="184">
        <v>3.33</v>
      </c>
      <c r="F132" s="186">
        <v>60</v>
      </c>
      <c r="G132" s="186">
        <f t="shared" ref="G132:G138" si="15">F132*E132</f>
        <v>199.8</v>
      </c>
      <c r="I132" s="187"/>
      <c r="J132" s="188"/>
    </row>
    <row r="133" spans="1:10" x14ac:dyDescent="0.25">
      <c r="A133" s="182"/>
      <c r="B133" s="183"/>
      <c r="C133" s="184"/>
      <c r="D133" s="184" t="s">
        <v>381</v>
      </c>
      <c r="E133" s="184">
        <v>0</v>
      </c>
      <c r="F133" s="186">
        <v>50</v>
      </c>
      <c r="G133" s="186">
        <f t="shared" si="15"/>
        <v>0</v>
      </c>
      <c r="I133" s="187"/>
      <c r="J133" s="188"/>
    </row>
    <row r="134" spans="1:10" x14ac:dyDescent="0.25">
      <c r="A134" s="182"/>
      <c r="B134" s="183"/>
      <c r="C134" s="184"/>
      <c r="D134" s="184" t="s">
        <v>382</v>
      </c>
      <c r="E134" s="184">
        <v>0</v>
      </c>
      <c r="F134" s="186">
        <v>50</v>
      </c>
      <c r="G134" s="186">
        <f t="shared" si="15"/>
        <v>0</v>
      </c>
      <c r="I134" s="187"/>
      <c r="J134" s="188"/>
    </row>
    <row r="135" spans="1:10" x14ac:dyDescent="0.25">
      <c r="A135" s="182"/>
      <c r="B135" s="183"/>
      <c r="C135" s="184"/>
      <c r="D135" s="184" t="s">
        <v>383</v>
      </c>
      <c r="E135" s="184">
        <v>0</v>
      </c>
      <c r="F135" s="186">
        <v>50</v>
      </c>
      <c r="G135" s="186">
        <f t="shared" si="15"/>
        <v>0</v>
      </c>
      <c r="I135" s="187"/>
      <c r="J135" s="188"/>
    </row>
    <row r="136" spans="1:10" x14ac:dyDescent="0.25">
      <c r="A136" s="182"/>
      <c r="B136" s="183"/>
      <c r="C136" s="184"/>
      <c r="D136" s="184" t="s">
        <v>384</v>
      </c>
      <c r="E136" s="184">
        <v>0</v>
      </c>
      <c r="F136" s="186">
        <v>50</v>
      </c>
      <c r="G136" s="186">
        <f t="shared" si="15"/>
        <v>0</v>
      </c>
      <c r="I136" s="187"/>
      <c r="J136" s="188"/>
    </row>
    <row r="137" spans="1:10" x14ac:dyDescent="0.25">
      <c r="A137" s="182"/>
      <c r="B137" s="183"/>
      <c r="C137" s="184"/>
      <c r="D137" s="184" t="s">
        <v>385</v>
      </c>
      <c r="E137" s="184">
        <v>0</v>
      </c>
      <c r="F137" s="186">
        <v>75</v>
      </c>
      <c r="G137" s="186">
        <f t="shared" si="15"/>
        <v>0</v>
      </c>
      <c r="I137" s="187"/>
      <c r="J137" s="188"/>
    </row>
    <row r="138" spans="1:10" x14ac:dyDescent="0.25">
      <c r="A138" s="189"/>
      <c r="B138" s="190"/>
      <c r="C138" s="191"/>
      <c r="D138" s="191" t="s">
        <v>386</v>
      </c>
      <c r="E138" s="191">
        <v>0</v>
      </c>
      <c r="F138" s="192">
        <v>60</v>
      </c>
      <c r="G138" s="192">
        <f t="shared" si="15"/>
        <v>0</v>
      </c>
      <c r="H138" s="179"/>
      <c r="I138" s="193"/>
      <c r="J138" s="194"/>
    </row>
    <row r="139" spans="1:10" x14ac:dyDescent="0.25">
      <c r="A139" s="210" t="s">
        <v>191</v>
      </c>
      <c r="B139" s="211" t="s">
        <v>393</v>
      </c>
      <c r="C139" s="219">
        <v>1.62</v>
      </c>
      <c r="D139" s="219"/>
      <c r="E139" s="219">
        <f>SUM(E140:E147)</f>
        <v>1.62</v>
      </c>
      <c r="F139" s="220"/>
      <c r="G139" s="208">
        <f>SUM(G140:G147)</f>
        <v>81</v>
      </c>
      <c r="H139" s="213"/>
      <c r="I139" s="208">
        <v>27.54</v>
      </c>
      <c r="J139" s="214">
        <f>G139-I139</f>
        <v>53.46</v>
      </c>
    </row>
    <row r="140" spans="1:10" x14ac:dyDescent="0.25">
      <c r="A140" s="182"/>
      <c r="B140" s="183"/>
      <c r="C140" s="184"/>
      <c r="D140" s="184" t="s">
        <v>379</v>
      </c>
      <c r="E140" s="184">
        <v>0</v>
      </c>
      <c r="F140" s="186">
        <v>60</v>
      </c>
      <c r="G140" s="186">
        <f>F140*E140</f>
        <v>0</v>
      </c>
      <c r="I140" s="187"/>
      <c r="J140" s="188"/>
    </row>
    <row r="141" spans="1:10" x14ac:dyDescent="0.25">
      <c r="A141" s="182"/>
      <c r="B141" s="183"/>
      <c r="C141" s="184"/>
      <c r="D141" s="184" t="s">
        <v>380</v>
      </c>
      <c r="E141" s="184">
        <v>0</v>
      </c>
      <c r="F141" s="186">
        <v>60</v>
      </c>
      <c r="G141" s="186">
        <f t="shared" ref="G141:G147" si="16">F141*E141</f>
        <v>0</v>
      </c>
      <c r="I141" s="187"/>
      <c r="J141" s="188"/>
    </row>
    <row r="142" spans="1:10" x14ac:dyDescent="0.25">
      <c r="A142" s="182"/>
      <c r="B142" s="183"/>
      <c r="C142" s="184"/>
      <c r="D142" s="184" t="s">
        <v>381</v>
      </c>
      <c r="E142" s="184">
        <v>0</v>
      </c>
      <c r="F142" s="186">
        <v>50</v>
      </c>
      <c r="G142" s="186">
        <f t="shared" si="16"/>
        <v>0</v>
      </c>
      <c r="I142" s="187"/>
      <c r="J142" s="188"/>
    </row>
    <row r="143" spans="1:10" x14ac:dyDescent="0.25">
      <c r="A143" s="182"/>
      <c r="B143" s="183"/>
      <c r="C143" s="184"/>
      <c r="D143" s="184" t="s">
        <v>382</v>
      </c>
      <c r="E143" s="184">
        <v>1.62</v>
      </c>
      <c r="F143" s="186">
        <v>50</v>
      </c>
      <c r="G143" s="186">
        <f t="shared" si="16"/>
        <v>81</v>
      </c>
      <c r="I143" s="187"/>
      <c r="J143" s="188"/>
    </row>
    <row r="144" spans="1:10" x14ac:dyDescent="0.25">
      <c r="A144" s="182"/>
      <c r="B144" s="183"/>
      <c r="C144" s="184"/>
      <c r="D144" s="184" t="s">
        <v>383</v>
      </c>
      <c r="E144" s="184">
        <v>0</v>
      </c>
      <c r="F144" s="186">
        <v>50</v>
      </c>
      <c r="G144" s="186">
        <f t="shared" si="16"/>
        <v>0</v>
      </c>
      <c r="I144" s="187"/>
      <c r="J144" s="188"/>
    </row>
    <row r="145" spans="1:10" x14ac:dyDescent="0.25">
      <c r="A145" s="182"/>
      <c r="B145" s="183"/>
      <c r="C145" s="184"/>
      <c r="D145" s="184" t="s">
        <v>384</v>
      </c>
      <c r="E145" s="184">
        <v>0</v>
      </c>
      <c r="F145" s="186">
        <v>50</v>
      </c>
      <c r="G145" s="186">
        <f t="shared" si="16"/>
        <v>0</v>
      </c>
      <c r="I145" s="187"/>
      <c r="J145" s="188"/>
    </row>
    <row r="146" spans="1:10" x14ac:dyDescent="0.25">
      <c r="A146" s="182"/>
      <c r="B146" s="183"/>
      <c r="C146" s="184"/>
      <c r="D146" s="184" t="s">
        <v>385</v>
      </c>
      <c r="E146" s="184">
        <v>0</v>
      </c>
      <c r="F146" s="186">
        <v>75</v>
      </c>
      <c r="G146" s="186">
        <f t="shared" si="16"/>
        <v>0</v>
      </c>
      <c r="I146" s="187"/>
      <c r="J146" s="188"/>
    </row>
    <row r="147" spans="1:10" x14ac:dyDescent="0.25">
      <c r="A147" s="189"/>
      <c r="B147" s="190"/>
      <c r="C147" s="191"/>
      <c r="D147" s="191" t="s">
        <v>386</v>
      </c>
      <c r="E147" s="191">
        <v>0</v>
      </c>
      <c r="F147" s="192">
        <v>60</v>
      </c>
      <c r="G147" s="192">
        <f t="shared" si="16"/>
        <v>0</v>
      </c>
      <c r="H147" s="179"/>
      <c r="I147" s="193"/>
      <c r="J147" s="194"/>
    </row>
    <row r="148" spans="1:10" x14ac:dyDescent="0.25">
      <c r="A148" s="210" t="s">
        <v>193</v>
      </c>
      <c r="B148" s="211" t="s">
        <v>394</v>
      </c>
      <c r="C148" s="219">
        <v>0.9</v>
      </c>
      <c r="D148" s="219"/>
      <c r="E148" s="219">
        <f>SUM(E149:E156)</f>
        <v>0.9</v>
      </c>
      <c r="F148" s="220"/>
      <c r="G148" s="208">
        <f>SUM(G149:G156)</f>
        <v>45</v>
      </c>
      <c r="H148" s="213"/>
      <c r="I148" s="208">
        <v>15.3</v>
      </c>
      <c r="J148" s="214">
        <f>G148-I148</f>
        <v>29.7</v>
      </c>
    </row>
    <row r="149" spans="1:10" x14ac:dyDescent="0.25">
      <c r="A149" s="182"/>
      <c r="B149" s="183"/>
      <c r="C149" s="184"/>
      <c r="D149" s="184" t="s">
        <v>379</v>
      </c>
      <c r="E149" s="184">
        <v>0</v>
      </c>
      <c r="F149" s="186">
        <v>60</v>
      </c>
      <c r="G149" s="186">
        <f>F149*E149</f>
        <v>0</v>
      </c>
      <c r="I149" s="187"/>
      <c r="J149" s="188"/>
    </row>
    <row r="150" spans="1:10" x14ac:dyDescent="0.25">
      <c r="A150" s="182"/>
      <c r="B150" s="183"/>
      <c r="C150" s="184"/>
      <c r="D150" s="184" t="s">
        <v>380</v>
      </c>
      <c r="E150" s="184">
        <v>0</v>
      </c>
      <c r="F150" s="186">
        <v>60</v>
      </c>
      <c r="G150" s="186">
        <f t="shared" ref="G150:G156" si="17">F150*E150</f>
        <v>0</v>
      </c>
      <c r="I150" s="187"/>
      <c r="J150" s="188"/>
    </row>
    <row r="151" spans="1:10" x14ac:dyDescent="0.25">
      <c r="A151" s="182"/>
      <c r="B151" s="183"/>
      <c r="C151" s="184"/>
      <c r="D151" s="184" t="s">
        <v>381</v>
      </c>
      <c r="E151" s="184">
        <v>0</v>
      </c>
      <c r="F151" s="186">
        <v>50</v>
      </c>
      <c r="G151" s="186">
        <f t="shared" si="17"/>
        <v>0</v>
      </c>
      <c r="I151" s="187"/>
      <c r="J151" s="188"/>
    </row>
    <row r="152" spans="1:10" x14ac:dyDescent="0.25">
      <c r="A152" s="182"/>
      <c r="B152" s="183"/>
      <c r="C152" s="184"/>
      <c r="D152" s="184" t="s">
        <v>382</v>
      </c>
      <c r="E152" s="184">
        <v>0.9</v>
      </c>
      <c r="F152" s="186">
        <v>50</v>
      </c>
      <c r="G152" s="186">
        <f t="shared" si="17"/>
        <v>45</v>
      </c>
      <c r="I152" s="187"/>
      <c r="J152" s="188"/>
    </row>
    <row r="153" spans="1:10" x14ac:dyDescent="0.25">
      <c r="A153" s="182"/>
      <c r="B153" s="183"/>
      <c r="C153" s="184"/>
      <c r="D153" s="184" t="s">
        <v>383</v>
      </c>
      <c r="E153" s="184">
        <v>0</v>
      </c>
      <c r="F153" s="186">
        <v>50</v>
      </c>
      <c r="G153" s="186">
        <f t="shared" si="17"/>
        <v>0</v>
      </c>
      <c r="I153" s="187"/>
      <c r="J153" s="188"/>
    </row>
    <row r="154" spans="1:10" x14ac:dyDescent="0.25">
      <c r="A154" s="182"/>
      <c r="B154" s="183"/>
      <c r="C154" s="184"/>
      <c r="D154" s="184" t="s">
        <v>384</v>
      </c>
      <c r="E154" s="184">
        <v>0</v>
      </c>
      <c r="F154" s="186">
        <v>50</v>
      </c>
      <c r="G154" s="186">
        <f t="shared" si="17"/>
        <v>0</v>
      </c>
      <c r="I154" s="187"/>
      <c r="J154" s="188"/>
    </row>
    <row r="155" spans="1:10" x14ac:dyDescent="0.25">
      <c r="A155" s="182"/>
      <c r="B155" s="183"/>
      <c r="C155" s="184"/>
      <c r="D155" s="184" t="s">
        <v>385</v>
      </c>
      <c r="E155" s="184">
        <v>0</v>
      </c>
      <c r="F155" s="186">
        <v>75</v>
      </c>
      <c r="G155" s="186">
        <f t="shared" si="17"/>
        <v>0</v>
      </c>
      <c r="I155" s="187"/>
      <c r="J155" s="188"/>
    </row>
    <row r="156" spans="1:10" x14ac:dyDescent="0.25">
      <c r="A156" s="189"/>
      <c r="B156" s="190"/>
      <c r="C156" s="191"/>
      <c r="D156" s="191" t="s">
        <v>386</v>
      </c>
      <c r="E156" s="191">
        <v>0</v>
      </c>
      <c r="F156" s="192">
        <v>60</v>
      </c>
      <c r="G156" s="192">
        <f t="shared" si="17"/>
        <v>0</v>
      </c>
      <c r="H156" s="179"/>
      <c r="I156" s="193"/>
      <c r="J156" s="194"/>
    </row>
    <row r="157" spans="1:10" x14ac:dyDescent="0.25">
      <c r="A157" s="182"/>
      <c r="B157" s="183"/>
      <c r="C157" s="184">
        <f>SUM(C130:C156)</f>
        <v>5.8500000000000005</v>
      </c>
      <c r="D157" s="184"/>
      <c r="E157" s="184">
        <f>SUM(E130+E139+E148)</f>
        <v>5.8500000000000005</v>
      </c>
      <c r="F157" s="184"/>
      <c r="G157" s="186">
        <f>SUM(G130+G139+G148)</f>
        <v>325.8</v>
      </c>
      <c r="I157" s="187">
        <f>SUM(I130+I139+I148)</f>
        <v>181.51</v>
      </c>
    </row>
    <row r="158" spans="1:10" x14ac:dyDescent="0.25">
      <c r="A158" s="182"/>
      <c r="B158" s="183"/>
      <c r="C158" s="184"/>
      <c r="D158" s="184"/>
      <c r="E158" s="184"/>
      <c r="F158" s="184"/>
      <c r="G158" s="186"/>
      <c r="I158" s="187"/>
    </row>
    <row r="159" spans="1:10" x14ac:dyDescent="0.25">
      <c r="A159" s="182" t="s">
        <v>395</v>
      </c>
      <c r="B159" s="183" t="s">
        <v>396</v>
      </c>
      <c r="C159" s="184"/>
      <c r="D159" s="184"/>
      <c r="E159" s="184"/>
      <c r="F159" s="184"/>
      <c r="G159" s="184"/>
      <c r="I159" s="185"/>
    </row>
    <row r="160" spans="1:10" x14ac:dyDescent="0.25">
      <c r="A160" s="210" t="s">
        <v>203</v>
      </c>
      <c r="B160" s="211" t="s">
        <v>204</v>
      </c>
      <c r="C160" s="219">
        <v>14.94</v>
      </c>
      <c r="D160" s="219"/>
      <c r="E160" s="219">
        <f>SUM(E161:E168)</f>
        <v>14.94</v>
      </c>
      <c r="F160" s="220"/>
      <c r="G160" s="208">
        <f>SUM(G161:G168)</f>
        <v>881.39999999999986</v>
      </c>
      <c r="H160" s="213"/>
      <c r="I160" s="208">
        <v>626.96</v>
      </c>
      <c r="J160" s="214">
        <f>G160-I160</f>
        <v>254.43999999999983</v>
      </c>
    </row>
    <row r="161" spans="1:10" x14ac:dyDescent="0.25">
      <c r="A161" s="182"/>
      <c r="B161" s="183"/>
      <c r="C161" s="184"/>
      <c r="D161" s="184" t="s">
        <v>379</v>
      </c>
      <c r="E161" s="184">
        <v>3.67</v>
      </c>
      <c r="F161" s="186">
        <v>60</v>
      </c>
      <c r="G161" s="186">
        <f>F161*E161</f>
        <v>220.2</v>
      </c>
      <c r="I161" s="187"/>
      <c r="J161" s="188"/>
    </row>
    <row r="162" spans="1:10" x14ac:dyDescent="0.25">
      <c r="A162" s="182"/>
      <c r="B162" s="183"/>
      <c r="C162" s="184"/>
      <c r="D162" s="184" t="s">
        <v>380</v>
      </c>
      <c r="E162" s="184">
        <v>9.77</v>
      </c>
      <c r="F162" s="186">
        <v>60</v>
      </c>
      <c r="G162" s="186">
        <f t="shared" ref="G162:G168" si="18">F162*E162</f>
        <v>586.19999999999993</v>
      </c>
      <c r="I162" s="187"/>
      <c r="J162" s="188"/>
    </row>
    <row r="163" spans="1:10" x14ac:dyDescent="0.25">
      <c r="A163" s="182"/>
      <c r="B163" s="183"/>
      <c r="C163" s="184"/>
      <c r="D163" s="184" t="s">
        <v>381</v>
      </c>
      <c r="E163" s="184">
        <v>0</v>
      </c>
      <c r="F163" s="186">
        <v>50</v>
      </c>
      <c r="G163" s="186">
        <f t="shared" si="18"/>
        <v>0</v>
      </c>
      <c r="I163" s="187"/>
      <c r="J163" s="188"/>
    </row>
    <row r="164" spans="1:10" x14ac:dyDescent="0.25">
      <c r="A164" s="182"/>
      <c r="B164" s="183"/>
      <c r="C164" s="184"/>
      <c r="D164" s="184" t="s">
        <v>382</v>
      </c>
      <c r="E164" s="184">
        <v>0</v>
      </c>
      <c r="F164" s="186">
        <v>50</v>
      </c>
      <c r="G164" s="186">
        <f t="shared" si="18"/>
        <v>0</v>
      </c>
      <c r="I164" s="187"/>
      <c r="J164" s="188"/>
    </row>
    <row r="165" spans="1:10" x14ac:dyDescent="0.25">
      <c r="A165" s="182"/>
      <c r="B165" s="183"/>
      <c r="C165" s="184"/>
      <c r="D165" s="184" t="s">
        <v>383</v>
      </c>
      <c r="E165" s="184">
        <v>1.5</v>
      </c>
      <c r="F165" s="186">
        <v>50</v>
      </c>
      <c r="G165" s="186">
        <f t="shared" si="18"/>
        <v>75</v>
      </c>
      <c r="I165" s="187"/>
      <c r="J165" s="188"/>
    </row>
    <row r="166" spans="1:10" x14ac:dyDescent="0.25">
      <c r="A166" s="182"/>
      <c r="B166" s="183"/>
      <c r="C166" s="184"/>
      <c r="D166" s="184" t="s">
        <v>384</v>
      </c>
      <c r="E166" s="184">
        <v>0</v>
      </c>
      <c r="F166" s="186">
        <v>50</v>
      </c>
      <c r="G166" s="186">
        <f t="shared" si="18"/>
        <v>0</v>
      </c>
      <c r="I166" s="187"/>
      <c r="J166" s="188"/>
    </row>
    <row r="167" spans="1:10" x14ac:dyDescent="0.25">
      <c r="A167" s="182"/>
      <c r="B167" s="183"/>
      <c r="C167" s="184"/>
      <c r="D167" s="184" t="s">
        <v>385</v>
      </c>
      <c r="E167" s="184">
        <v>0</v>
      </c>
      <c r="F167" s="186">
        <v>75</v>
      </c>
      <c r="G167" s="186">
        <f t="shared" si="18"/>
        <v>0</v>
      </c>
      <c r="I167" s="187"/>
      <c r="J167" s="188"/>
    </row>
    <row r="168" spans="1:10" x14ac:dyDescent="0.25">
      <c r="A168" s="189"/>
      <c r="B168" s="190"/>
      <c r="C168" s="191"/>
      <c r="D168" s="191" t="s">
        <v>386</v>
      </c>
      <c r="E168" s="191">
        <v>0</v>
      </c>
      <c r="F168" s="192">
        <v>60</v>
      </c>
      <c r="G168" s="192">
        <f t="shared" si="18"/>
        <v>0</v>
      </c>
      <c r="H168" s="179"/>
      <c r="I168" s="193"/>
      <c r="J168" s="194"/>
    </row>
    <row r="169" spans="1:10" x14ac:dyDescent="0.25">
      <c r="A169" s="210" t="s">
        <v>348</v>
      </c>
      <c r="B169" s="211" t="s">
        <v>397</v>
      </c>
      <c r="C169" s="219">
        <v>28.58</v>
      </c>
      <c r="D169" s="219"/>
      <c r="E169" s="219">
        <f>SUM(E170:E178)</f>
        <v>28.58</v>
      </c>
      <c r="F169" s="220"/>
      <c r="G169" s="208">
        <f>SUM(G170:G178)</f>
        <v>1591.3</v>
      </c>
      <c r="H169" s="213"/>
      <c r="I169" s="208">
        <v>1017.75</v>
      </c>
      <c r="J169" s="214">
        <f>G169-I169</f>
        <v>573.54999999999995</v>
      </c>
    </row>
    <row r="170" spans="1:10" x14ac:dyDescent="0.25">
      <c r="A170" s="182"/>
      <c r="B170" s="183"/>
      <c r="C170" s="184"/>
      <c r="D170" s="184" t="s">
        <v>379</v>
      </c>
      <c r="E170" s="184">
        <v>2.78</v>
      </c>
      <c r="F170" s="186">
        <v>60</v>
      </c>
      <c r="G170" s="186">
        <f>F170*E170</f>
        <v>166.79999999999998</v>
      </c>
      <c r="I170" s="187"/>
      <c r="J170" s="188"/>
    </row>
    <row r="171" spans="1:10" x14ac:dyDescent="0.25">
      <c r="A171" s="182"/>
      <c r="B171" s="183"/>
      <c r="C171" s="184"/>
      <c r="D171" s="184" t="s">
        <v>380</v>
      </c>
      <c r="E171" s="184">
        <v>13.45</v>
      </c>
      <c r="F171" s="186">
        <v>60</v>
      </c>
      <c r="G171" s="186">
        <f t="shared" ref="G171:G178" si="19">F171*E171</f>
        <v>807</v>
      </c>
      <c r="I171" s="187"/>
      <c r="J171" s="188"/>
    </row>
    <row r="172" spans="1:10" x14ac:dyDescent="0.25">
      <c r="A172" s="182"/>
      <c r="B172" s="183"/>
      <c r="C172" s="184"/>
      <c r="D172" s="184" t="s">
        <v>381</v>
      </c>
      <c r="E172" s="184">
        <v>0</v>
      </c>
      <c r="F172" s="186">
        <v>50</v>
      </c>
      <c r="G172" s="186">
        <f t="shared" si="19"/>
        <v>0</v>
      </c>
      <c r="I172" s="187"/>
      <c r="J172" s="188"/>
    </row>
    <row r="173" spans="1:10" x14ac:dyDescent="0.25">
      <c r="A173" s="182"/>
      <c r="B173" s="183"/>
      <c r="C173" s="184"/>
      <c r="D173" s="184" t="s">
        <v>382</v>
      </c>
      <c r="E173" s="184">
        <v>7.45</v>
      </c>
      <c r="F173" s="186">
        <v>50</v>
      </c>
      <c r="G173" s="186">
        <f t="shared" si="19"/>
        <v>372.5</v>
      </c>
      <c r="I173" s="187"/>
      <c r="J173" s="188"/>
    </row>
    <row r="174" spans="1:10" x14ac:dyDescent="0.25">
      <c r="A174" s="182"/>
      <c r="B174" s="183"/>
      <c r="C174" s="184"/>
      <c r="D174" s="184" t="s">
        <v>383</v>
      </c>
      <c r="E174" s="184">
        <v>2</v>
      </c>
      <c r="F174" s="186">
        <v>50</v>
      </c>
      <c r="G174" s="186">
        <f t="shared" si="19"/>
        <v>100</v>
      </c>
      <c r="I174" s="187"/>
      <c r="J174" s="188"/>
    </row>
    <row r="175" spans="1:10" x14ac:dyDescent="0.25">
      <c r="A175" s="182"/>
      <c r="B175" s="183"/>
      <c r="C175" s="184"/>
      <c r="D175" s="184" t="s">
        <v>384</v>
      </c>
      <c r="E175" s="184">
        <v>0</v>
      </c>
      <c r="F175" s="186">
        <v>50</v>
      </c>
      <c r="G175" s="186">
        <f t="shared" si="19"/>
        <v>0</v>
      </c>
      <c r="I175" s="187"/>
      <c r="J175" s="188"/>
    </row>
    <row r="176" spans="1:10" x14ac:dyDescent="0.25">
      <c r="A176" s="182"/>
      <c r="B176" s="183"/>
      <c r="C176" s="184"/>
      <c r="D176" s="184" t="s">
        <v>414</v>
      </c>
      <c r="E176" s="184">
        <v>2.9</v>
      </c>
      <c r="F176" s="186">
        <v>50</v>
      </c>
      <c r="G176" s="186">
        <f t="shared" ref="G176" si="20">F176*E176</f>
        <v>145</v>
      </c>
      <c r="I176" s="187"/>
      <c r="J176" s="188"/>
    </row>
    <row r="177" spans="1:10" x14ac:dyDescent="0.25">
      <c r="A177" s="182"/>
      <c r="B177" s="183"/>
      <c r="C177" s="184"/>
      <c r="D177" s="184" t="s">
        <v>385</v>
      </c>
      <c r="E177" s="184">
        <v>0</v>
      </c>
      <c r="F177" s="186">
        <v>75</v>
      </c>
      <c r="G177" s="186">
        <f t="shared" si="19"/>
        <v>0</v>
      </c>
      <c r="I177" s="187"/>
      <c r="J177" s="188"/>
    </row>
    <row r="178" spans="1:10" x14ac:dyDescent="0.25">
      <c r="A178" s="189"/>
      <c r="B178" s="190"/>
      <c r="C178" s="191"/>
      <c r="D178" s="191" t="s">
        <v>386</v>
      </c>
      <c r="E178" s="191">
        <v>0</v>
      </c>
      <c r="F178" s="192">
        <v>60</v>
      </c>
      <c r="G178" s="192">
        <f t="shared" si="19"/>
        <v>0</v>
      </c>
      <c r="H178" s="179"/>
      <c r="I178" s="193"/>
      <c r="J178" s="194"/>
    </row>
    <row r="179" spans="1:10" x14ac:dyDescent="0.25">
      <c r="A179" s="182"/>
      <c r="B179" s="183"/>
      <c r="C179" s="184">
        <f>SUM(C160:C178)</f>
        <v>43.519999999999996</v>
      </c>
      <c r="D179" s="184"/>
      <c r="E179" s="184">
        <f>SUM(E160+E169)</f>
        <v>43.519999999999996</v>
      </c>
      <c r="F179" s="184"/>
      <c r="G179" s="186">
        <f>SUM(G160+G169)</f>
        <v>2472.6999999999998</v>
      </c>
      <c r="I179" s="187">
        <f>SUM(I160+I169)</f>
        <v>1644.71</v>
      </c>
    </row>
    <row r="180" spans="1:10" x14ac:dyDescent="0.25">
      <c r="A180" s="182"/>
      <c r="B180" s="183"/>
      <c r="C180" s="184"/>
      <c r="D180" s="184"/>
      <c r="E180" s="184"/>
      <c r="F180" s="184"/>
      <c r="G180" s="184"/>
      <c r="I180" s="185"/>
    </row>
    <row r="181" spans="1:10" x14ac:dyDescent="0.25">
      <c r="A181" s="182" t="s">
        <v>398</v>
      </c>
      <c r="B181" s="183" t="s">
        <v>372</v>
      </c>
      <c r="C181" s="184"/>
      <c r="D181" s="184"/>
      <c r="E181" s="184"/>
      <c r="F181" s="184"/>
      <c r="G181" s="184"/>
      <c r="I181" s="185"/>
    </row>
    <row r="182" spans="1:10" x14ac:dyDescent="0.25">
      <c r="A182" s="210" t="s">
        <v>212</v>
      </c>
      <c r="B182" s="211" t="s">
        <v>213</v>
      </c>
      <c r="C182" s="219">
        <v>2.92</v>
      </c>
      <c r="D182" s="219"/>
      <c r="E182" s="219">
        <f>SUM(E183:E190)</f>
        <v>2.92</v>
      </c>
      <c r="F182" s="220"/>
      <c r="G182" s="208">
        <f>SUM(G183:G190)</f>
        <v>160.19999999999999</v>
      </c>
      <c r="H182" s="213"/>
      <c r="I182" s="208">
        <v>93.97</v>
      </c>
      <c r="J182" s="214">
        <f>G182-I182</f>
        <v>66.22999999999999</v>
      </c>
    </row>
    <row r="183" spans="1:10" x14ac:dyDescent="0.25">
      <c r="A183" s="182"/>
      <c r="B183" s="183"/>
      <c r="C183" s="184"/>
      <c r="D183" s="184" t="s">
        <v>379</v>
      </c>
      <c r="E183" s="184">
        <v>1.42</v>
      </c>
      <c r="F183" s="186">
        <v>60</v>
      </c>
      <c r="G183" s="186">
        <f>F183*E183</f>
        <v>85.199999999999989</v>
      </c>
      <c r="I183" s="187"/>
      <c r="J183" s="188"/>
    </row>
    <row r="184" spans="1:10" x14ac:dyDescent="0.25">
      <c r="A184" s="182"/>
      <c r="B184" s="183"/>
      <c r="C184" s="184"/>
      <c r="D184" s="184" t="s">
        <v>380</v>
      </c>
      <c r="E184" s="184">
        <v>0</v>
      </c>
      <c r="F184" s="186">
        <v>60</v>
      </c>
      <c r="G184" s="186">
        <f t="shared" ref="G184:G190" si="21">F184*E184</f>
        <v>0</v>
      </c>
      <c r="I184" s="187"/>
      <c r="J184" s="188"/>
    </row>
    <row r="185" spans="1:10" x14ac:dyDescent="0.25">
      <c r="A185" s="182"/>
      <c r="B185" s="183"/>
      <c r="C185" s="184"/>
      <c r="D185" s="184" t="s">
        <v>381</v>
      </c>
      <c r="E185" s="184">
        <v>0</v>
      </c>
      <c r="F185" s="186">
        <v>50</v>
      </c>
      <c r="G185" s="186">
        <f t="shared" si="21"/>
        <v>0</v>
      </c>
      <c r="I185" s="187"/>
      <c r="J185" s="188"/>
    </row>
    <row r="186" spans="1:10" x14ac:dyDescent="0.25">
      <c r="A186" s="182"/>
      <c r="B186" s="183"/>
      <c r="C186" s="184"/>
      <c r="D186" s="184" t="s">
        <v>382</v>
      </c>
      <c r="E186" s="184">
        <v>1.5</v>
      </c>
      <c r="F186" s="186">
        <v>50</v>
      </c>
      <c r="G186" s="186">
        <f t="shared" si="21"/>
        <v>75</v>
      </c>
      <c r="I186" s="187"/>
      <c r="J186" s="188"/>
    </row>
    <row r="187" spans="1:10" x14ac:dyDescent="0.25">
      <c r="A187" s="182"/>
      <c r="B187" s="183"/>
      <c r="C187" s="184"/>
      <c r="D187" s="184" t="s">
        <v>383</v>
      </c>
      <c r="E187" s="184">
        <v>0</v>
      </c>
      <c r="F187" s="186">
        <v>50</v>
      </c>
      <c r="G187" s="186">
        <f t="shared" si="21"/>
        <v>0</v>
      </c>
      <c r="I187" s="187"/>
      <c r="J187" s="188"/>
    </row>
    <row r="188" spans="1:10" x14ac:dyDescent="0.25">
      <c r="A188" s="182"/>
      <c r="B188" s="183"/>
      <c r="C188" s="184"/>
      <c r="D188" s="184" t="s">
        <v>384</v>
      </c>
      <c r="E188" s="184">
        <v>0</v>
      </c>
      <c r="F188" s="186">
        <v>50</v>
      </c>
      <c r="G188" s="186">
        <f t="shared" si="21"/>
        <v>0</v>
      </c>
      <c r="I188" s="187"/>
      <c r="J188" s="188"/>
    </row>
    <row r="189" spans="1:10" x14ac:dyDescent="0.25">
      <c r="A189" s="182"/>
      <c r="B189" s="183"/>
      <c r="C189" s="184"/>
      <c r="D189" s="184" t="s">
        <v>385</v>
      </c>
      <c r="E189" s="184">
        <v>0</v>
      </c>
      <c r="F189" s="186">
        <v>75</v>
      </c>
      <c r="G189" s="186">
        <f t="shared" si="21"/>
        <v>0</v>
      </c>
      <c r="I189" s="187"/>
      <c r="J189" s="188"/>
    </row>
    <row r="190" spans="1:10" x14ac:dyDescent="0.25">
      <c r="A190" s="189"/>
      <c r="B190" s="190"/>
      <c r="C190" s="191"/>
      <c r="D190" s="191" t="s">
        <v>386</v>
      </c>
      <c r="E190" s="191">
        <v>0</v>
      </c>
      <c r="F190" s="192">
        <v>60</v>
      </c>
      <c r="G190" s="192">
        <f t="shared" si="21"/>
        <v>0</v>
      </c>
      <c r="H190" s="179"/>
      <c r="I190" s="193"/>
      <c r="J190" s="194"/>
    </row>
    <row r="191" spans="1:10" x14ac:dyDescent="0.25">
      <c r="A191" s="210" t="s">
        <v>214</v>
      </c>
      <c r="B191" s="211" t="s">
        <v>215</v>
      </c>
      <c r="C191" s="219">
        <v>3.3</v>
      </c>
      <c r="D191" s="219"/>
      <c r="E191" s="219">
        <f>SUM(E192:E199)</f>
        <v>3.3</v>
      </c>
      <c r="F191" s="220"/>
      <c r="G191" s="208">
        <f>SUM(G192:G199)</f>
        <v>165</v>
      </c>
      <c r="H191" s="213"/>
      <c r="I191" s="208">
        <v>95.89</v>
      </c>
      <c r="J191" s="214">
        <f>G191-I191</f>
        <v>69.11</v>
      </c>
    </row>
    <row r="192" spans="1:10" x14ac:dyDescent="0.25">
      <c r="A192" s="182"/>
      <c r="B192" s="183"/>
      <c r="C192" s="184"/>
      <c r="D192" s="184" t="s">
        <v>379</v>
      </c>
      <c r="E192" s="184">
        <v>0</v>
      </c>
      <c r="F192" s="186">
        <v>60</v>
      </c>
      <c r="G192" s="186">
        <f>F192*E192</f>
        <v>0</v>
      </c>
      <c r="I192" s="187"/>
      <c r="J192" s="188"/>
    </row>
    <row r="193" spans="1:10" x14ac:dyDescent="0.25">
      <c r="A193" s="182"/>
      <c r="B193" s="183"/>
      <c r="C193" s="184"/>
      <c r="D193" s="184" t="s">
        <v>380</v>
      </c>
      <c r="E193" s="184">
        <v>0</v>
      </c>
      <c r="F193" s="186">
        <v>60</v>
      </c>
      <c r="G193" s="186">
        <f t="shared" ref="G193:G199" si="22">F193*E193</f>
        <v>0</v>
      </c>
      <c r="I193" s="187"/>
      <c r="J193" s="188"/>
    </row>
    <row r="194" spans="1:10" x14ac:dyDescent="0.25">
      <c r="A194" s="182"/>
      <c r="B194" s="183"/>
      <c r="C194" s="184"/>
      <c r="D194" s="184" t="s">
        <v>381</v>
      </c>
      <c r="E194" s="184">
        <v>3.3</v>
      </c>
      <c r="F194" s="186">
        <v>50</v>
      </c>
      <c r="G194" s="186">
        <f t="shared" si="22"/>
        <v>165</v>
      </c>
      <c r="I194" s="187"/>
      <c r="J194" s="188"/>
    </row>
    <row r="195" spans="1:10" x14ac:dyDescent="0.25">
      <c r="A195" s="182"/>
      <c r="B195" s="183"/>
      <c r="C195" s="184"/>
      <c r="D195" s="184" t="s">
        <v>382</v>
      </c>
      <c r="E195" s="184">
        <v>0</v>
      </c>
      <c r="F195" s="186">
        <v>50</v>
      </c>
      <c r="G195" s="186">
        <f t="shared" si="22"/>
        <v>0</v>
      </c>
      <c r="I195" s="187"/>
      <c r="J195" s="188"/>
    </row>
    <row r="196" spans="1:10" x14ac:dyDescent="0.25">
      <c r="A196" s="182"/>
      <c r="B196" s="183"/>
      <c r="C196" s="184"/>
      <c r="D196" s="184" t="s">
        <v>383</v>
      </c>
      <c r="E196" s="184">
        <v>0</v>
      </c>
      <c r="F196" s="186">
        <v>50</v>
      </c>
      <c r="G196" s="186">
        <f t="shared" si="22"/>
        <v>0</v>
      </c>
      <c r="I196" s="187"/>
      <c r="J196" s="188"/>
    </row>
    <row r="197" spans="1:10" x14ac:dyDescent="0.25">
      <c r="A197" s="182"/>
      <c r="B197" s="183"/>
      <c r="C197" s="184"/>
      <c r="D197" s="184" t="s">
        <v>384</v>
      </c>
      <c r="E197" s="184">
        <v>0</v>
      </c>
      <c r="F197" s="186">
        <v>50</v>
      </c>
      <c r="G197" s="186">
        <f t="shared" si="22"/>
        <v>0</v>
      </c>
      <c r="I197" s="187"/>
      <c r="J197" s="188"/>
    </row>
    <row r="198" spans="1:10" x14ac:dyDescent="0.25">
      <c r="A198" s="182"/>
      <c r="B198" s="183"/>
      <c r="C198" s="184"/>
      <c r="D198" s="184" t="s">
        <v>385</v>
      </c>
      <c r="E198" s="184">
        <v>0</v>
      </c>
      <c r="F198" s="186">
        <v>75</v>
      </c>
      <c r="G198" s="186">
        <f t="shared" si="22"/>
        <v>0</v>
      </c>
      <c r="I198" s="187"/>
      <c r="J198" s="188"/>
    </row>
    <row r="199" spans="1:10" x14ac:dyDescent="0.25">
      <c r="A199" s="189"/>
      <c r="B199" s="190"/>
      <c r="C199" s="191"/>
      <c r="D199" s="191" t="s">
        <v>386</v>
      </c>
      <c r="E199" s="191">
        <v>0</v>
      </c>
      <c r="F199" s="192">
        <v>60</v>
      </c>
      <c r="G199" s="192">
        <f t="shared" si="22"/>
        <v>0</v>
      </c>
      <c r="H199" s="179"/>
      <c r="I199" s="193"/>
      <c r="J199" s="194"/>
    </row>
    <row r="200" spans="1:10" x14ac:dyDescent="0.25">
      <c r="A200" s="210" t="s">
        <v>220</v>
      </c>
      <c r="B200" s="211" t="s">
        <v>221</v>
      </c>
      <c r="C200" s="219">
        <v>3</v>
      </c>
      <c r="D200" s="219"/>
      <c r="E200" s="219">
        <f>SUM(E201:E208)</f>
        <v>3</v>
      </c>
      <c r="F200" s="220"/>
      <c r="G200" s="208">
        <f>SUM(G201:G208)</f>
        <v>180</v>
      </c>
      <c r="H200" s="213"/>
      <c r="I200" s="208">
        <v>150.4</v>
      </c>
      <c r="J200" s="214">
        <f>G200-I200</f>
        <v>29.599999999999994</v>
      </c>
    </row>
    <row r="201" spans="1:10" x14ac:dyDescent="0.25">
      <c r="A201" s="182"/>
      <c r="B201" s="183"/>
      <c r="C201" s="184"/>
      <c r="D201" s="184" t="s">
        <v>379</v>
      </c>
      <c r="E201" s="184">
        <v>3</v>
      </c>
      <c r="F201" s="186">
        <v>60</v>
      </c>
      <c r="G201" s="186">
        <f>F201*E201</f>
        <v>180</v>
      </c>
      <c r="I201" s="187"/>
      <c r="J201" s="188"/>
    </row>
    <row r="202" spans="1:10" x14ac:dyDescent="0.25">
      <c r="A202" s="182"/>
      <c r="B202" s="183"/>
      <c r="C202" s="184"/>
      <c r="D202" s="184" t="s">
        <v>380</v>
      </c>
      <c r="E202" s="184">
        <v>0</v>
      </c>
      <c r="F202" s="186">
        <v>60</v>
      </c>
      <c r="G202" s="186">
        <f t="shared" ref="G202:G208" si="23">F202*E202</f>
        <v>0</v>
      </c>
      <c r="I202" s="187"/>
      <c r="J202" s="188"/>
    </row>
    <row r="203" spans="1:10" x14ac:dyDescent="0.25">
      <c r="A203" s="182"/>
      <c r="B203" s="183"/>
      <c r="C203" s="184"/>
      <c r="D203" s="184" t="s">
        <v>381</v>
      </c>
      <c r="E203" s="184">
        <v>0</v>
      </c>
      <c r="F203" s="186">
        <v>50</v>
      </c>
      <c r="G203" s="186">
        <f t="shared" si="23"/>
        <v>0</v>
      </c>
      <c r="I203" s="187"/>
      <c r="J203" s="188"/>
    </row>
    <row r="204" spans="1:10" x14ac:dyDescent="0.25">
      <c r="A204" s="182"/>
      <c r="B204" s="183"/>
      <c r="C204" s="184"/>
      <c r="D204" s="184" t="s">
        <v>382</v>
      </c>
      <c r="E204" s="184">
        <v>0</v>
      </c>
      <c r="F204" s="186">
        <v>50</v>
      </c>
      <c r="G204" s="186">
        <f t="shared" si="23"/>
        <v>0</v>
      </c>
      <c r="I204" s="187"/>
      <c r="J204" s="188"/>
    </row>
    <row r="205" spans="1:10" x14ac:dyDescent="0.25">
      <c r="A205" s="182"/>
      <c r="B205" s="183"/>
      <c r="C205" s="184"/>
      <c r="D205" s="184" t="s">
        <v>383</v>
      </c>
      <c r="E205" s="184">
        <v>0</v>
      </c>
      <c r="F205" s="186">
        <v>50</v>
      </c>
      <c r="G205" s="186">
        <f t="shared" si="23"/>
        <v>0</v>
      </c>
      <c r="I205" s="187"/>
      <c r="J205" s="188"/>
    </row>
    <row r="206" spans="1:10" x14ac:dyDescent="0.25">
      <c r="A206" s="182"/>
      <c r="B206" s="183"/>
      <c r="C206" s="184"/>
      <c r="D206" s="184" t="s">
        <v>384</v>
      </c>
      <c r="E206" s="184">
        <v>0</v>
      </c>
      <c r="F206" s="186">
        <v>50</v>
      </c>
      <c r="G206" s="186">
        <f t="shared" si="23"/>
        <v>0</v>
      </c>
      <c r="I206" s="187"/>
      <c r="J206" s="188"/>
    </row>
    <row r="207" spans="1:10" x14ac:dyDescent="0.25">
      <c r="A207" s="182"/>
      <c r="B207" s="183"/>
      <c r="C207" s="184"/>
      <c r="D207" s="184" t="s">
        <v>385</v>
      </c>
      <c r="E207" s="184">
        <v>0</v>
      </c>
      <c r="F207" s="186">
        <v>75</v>
      </c>
      <c r="G207" s="186">
        <f t="shared" si="23"/>
        <v>0</v>
      </c>
      <c r="I207" s="187"/>
      <c r="J207" s="188"/>
    </row>
    <row r="208" spans="1:10" x14ac:dyDescent="0.25">
      <c r="A208" s="189"/>
      <c r="B208" s="190"/>
      <c r="C208" s="191"/>
      <c r="D208" s="191" t="s">
        <v>386</v>
      </c>
      <c r="E208" s="191">
        <v>0</v>
      </c>
      <c r="F208" s="192">
        <v>60</v>
      </c>
      <c r="G208" s="192">
        <f t="shared" si="23"/>
        <v>0</v>
      </c>
      <c r="H208" s="179"/>
      <c r="I208" s="193"/>
      <c r="J208" s="194"/>
    </row>
    <row r="209" spans="1:10" x14ac:dyDescent="0.25">
      <c r="A209" s="210" t="s">
        <v>222</v>
      </c>
      <c r="B209" s="211" t="s">
        <v>223</v>
      </c>
      <c r="C209" s="219">
        <v>37.47</v>
      </c>
      <c r="D209" s="219"/>
      <c r="E209" s="219">
        <f>SUM(E210:E217)</f>
        <v>37.47</v>
      </c>
      <c r="F209" s="220"/>
      <c r="G209" s="208">
        <f>SUM(G210:G217)</f>
        <v>2018.5</v>
      </c>
      <c r="H209" s="213"/>
      <c r="I209" s="208">
        <v>1108.79</v>
      </c>
      <c r="J209" s="214">
        <f>G209-I209</f>
        <v>909.71</v>
      </c>
    </row>
    <row r="210" spans="1:10" x14ac:dyDescent="0.25">
      <c r="A210" s="182"/>
      <c r="B210" s="183"/>
      <c r="C210" s="184"/>
      <c r="D210" s="184" t="s">
        <v>379</v>
      </c>
      <c r="E210" s="184">
        <v>6.07</v>
      </c>
      <c r="F210" s="186">
        <v>60</v>
      </c>
      <c r="G210" s="186">
        <f>F210*E210</f>
        <v>364.20000000000005</v>
      </c>
      <c r="I210" s="187"/>
      <c r="J210" s="188"/>
    </row>
    <row r="211" spans="1:10" x14ac:dyDescent="0.25">
      <c r="A211" s="182"/>
      <c r="B211" s="183"/>
      <c r="C211" s="184"/>
      <c r="D211" s="184" t="s">
        <v>380</v>
      </c>
      <c r="E211" s="184">
        <v>8.43</v>
      </c>
      <c r="F211" s="186">
        <v>60</v>
      </c>
      <c r="G211" s="186">
        <f t="shared" ref="G211:G217" si="24">F211*E211</f>
        <v>505.79999999999995</v>
      </c>
      <c r="I211" s="187"/>
      <c r="J211" s="188"/>
    </row>
    <row r="212" spans="1:10" x14ac:dyDescent="0.25">
      <c r="A212" s="182"/>
      <c r="B212" s="183"/>
      <c r="C212" s="184"/>
      <c r="D212" s="184" t="s">
        <v>381</v>
      </c>
      <c r="E212" s="184">
        <v>6.92</v>
      </c>
      <c r="F212" s="186">
        <v>50</v>
      </c>
      <c r="G212" s="186">
        <f t="shared" si="24"/>
        <v>346</v>
      </c>
      <c r="I212" s="187"/>
      <c r="J212" s="188"/>
    </row>
    <row r="213" spans="1:10" x14ac:dyDescent="0.25">
      <c r="A213" s="182"/>
      <c r="B213" s="183"/>
      <c r="C213" s="184"/>
      <c r="D213" s="184" t="s">
        <v>382</v>
      </c>
      <c r="E213" s="184">
        <v>10.3</v>
      </c>
      <c r="F213" s="186">
        <v>50</v>
      </c>
      <c r="G213" s="186">
        <f t="shared" si="24"/>
        <v>515</v>
      </c>
      <c r="I213" s="187"/>
      <c r="J213" s="188"/>
    </row>
    <row r="214" spans="1:10" x14ac:dyDescent="0.25">
      <c r="A214" s="182"/>
      <c r="B214" s="183"/>
      <c r="C214" s="184"/>
      <c r="D214" s="184" t="s">
        <v>383</v>
      </c>
      <c r="E214" s="184">
        <v>5.75</v>
      </c>
      <c r="F214" s="186">
        <v>50</v>
      </c>
      <c r="G214" s="186">
        <f t="shared" si="24"/>
        <v>287.5</v>
      </c>
      <c r="I214" s="187"/>
      <c r="J214" s="188"/>
    </row>
    <row r="215" spans="1:10" x14ac:dyDescent="0.25">
      <c r="A215" s="182"/>
      <c r="B215" s="183"/>
      <c r="C215" s="184"/>
      <c r="D215" s="184" t="s">
        <v>384</v>
      </c>
      <c r="E215" s="184">
        <v>0</v>
      </c>
      <c r="F215" s="186">
        <v>50</v>
      </c>
      <c r="G215" s="186">
        <f t="shared" si="24"/>
        <v>0</v>
      </c>
      <c r="I215" s="187"/>
      <c r="J215" s="188"/>
    </row>
    <row r="216" spans="1:10" x14ac:dyDescent="0.25">
      <c r="A216" s="182"/>
      <c r="B216" s="183"/>
      <c r="C216" s="184"/>
      <c r="D216" s="184" t="s">
        <v>385</v>
      </c>
      <c r="E216" s="184">
        <v>0</v>
      </c>
      <c r="F216" s="186">
        <v>75</v>
      </c>
      <c r="G216" s="186">
        <f t="shared" si="24"/>
        <v>0</v>
      </c>
      <c r="I216" s="187"/>
      <c r="J216" s="188"/>
    </row>
    <row r="217" spans="1:10" x14ac:dyDescent="0.25">
      <c r="A217" s="189"/>
      <c r="B217" s="190"/>
      <c r="C217" s="191"/>
      <c r="D217" s="191" t="s">
        <v>386</v>
      </c>
      <c r="E217" s="191">
        <v>0</v>
      </c>
      <c r="F217" s="192">
        <v>60</v>
      </c>
      <c r="G217" s="192">
        <f t="shared" si="24"/>
        <v>0</v>
      </c>
      <c r="H217" s="179"/>
      <c r="I217" s="193"/>
      <c r="J217" s="194"/>
    </row>
    <row r="218" spans="1:10" x14ac:dyDescent="0.25">
      <c r="A218" s="182"/>
      <c r="B218" s="183"/>
      <c r="C218" s="184">
        <f>SUM(C182:C217)</f>
        <v>46.69</v>
      </c>
      <c r="D218" s="184"/>
      <c r="E218" s="184">
        <f>SUM(E182+E191+E200+E209)</f>
        <v>46.69</v>
      </c>
      <c r="F218" s="184"/>
      <c r="G218" s="186">
        <f>SUM(G182+G191+G200+G209)</f>
        <v>2523.6999999999998</v>
      </c>
      <c r="I218" s="187">
        <f>SUM(I182+I191+I200+I209)</f>
        <v>1449.05</v>
      </c>
    </row>
    <row r="219" spans="1:10" x14ac:dyDescent="0.25">
      <c r="A219" s="182"/>
      <c r="B219" s="183"/>
      <c r="C219" s="184"/>
      <c r="D219" s="184"/>
      <c r="E219" s="184"/>
      <c r="F219" s="184"/>
      <c r="G219" s="184"/>
      <c r="I219" s="185"/>
    </row>
    <row r="220" spans="1:10" x14ac:dyDescent="0.25">
      <c r="A220" s="182" t="s">
        <v>399</v>
      </c>
      <c r="B220" s="183" t="s">
        <v>373</v>
      </c>
      <c r="C220" s="184"/>
      <c r="D220" s="184"/>
      <c r="E220" s="184"/>
      <c r="F220" s="184"/>
      <c r="G220" s="184"/>
      <c r="I220" s="185"/>
    </row>
    <row r="221" spans="1:10" x14ac:dyDescent="0.25">
      <c r="A221" s="210" t="s">
        <v>237</v>
      </c>
      <c r="B221" s="211" t="s">
        <v>400</v>
      </c>
      <c r="C221" s="219">
        <v>11.12</v>
      </c>
      <c r="D221" s="219"/>
      <c r="E221" s="219">
        <f>SUM(E222:E229)</f>
        <v>11.120000000000001</v>
      </c>
      <c r="F221" s="220"/>
      <c r="G221" s="208">
        <f>SUM(G222:G229)</f>
        <v>577.79999999999995</v>
      </c>
      <c r="H221" s="213"/>
      <c r="I221" s="208">
        <v>345.98</v>
      </c>
      <c r="J221" s="214">
        <f>G221-I221</f>
        <v>231.81999999999994</v>
      </c>
    </row>
    <row r="222" spans="1:10" x14ac:dyDescent="0.25">
      <c r="A222" s="182"/>
      <c r="B222" s="183"/>
      <c r="C222" s="185"/>
      <c r="D222" s="184" t="s">
        <v>379</v>
      </c>
      <c r="E222" s="185">
        <v>1</v>
      </c>
      <c r="F222" s="186">
        <v>60</v>
      </c>
      <c r="G222" s="187">
        <f>F222*E222</f>
        <v>60</v>
      </c>
      <c r="I222" s="187"/>
      <c r="J222" s="188"/>
    </row>
    <row r="223" spans="1:10" x14ac:dyDescent="0.25">
      <c r="A223" s="182"/>
      <c r="B223" s="183"/>
      <c r="C223" s="184"/>
      <c r="D223" s="184" t="s">
        <v>380</v>
      </c>
      <c r="E223" s="184">
        <v>1.18</v>
      </c>
      <c r="F223" s="186">
        <v>60</v>
      </c>
      <c r="G223" s="187">
        <f t="shared" ref="G223:G229" si="25">F223*E223</f>
        <v>70.8</v>
      </c>
      <c r="I223" s="187"/>
      <c r="J223" s="188"/>
    </row>
    <row r="224" spans="1:10" x14ac:dyDescent="0.25">
      <c r="A224" s="182"/>
      <c r="B224" s="183"/>
      <c r="C224" s="184"/>
      <c r="D224" s="184" t="s">
        <v>381</v>
      </c>
      <c r="E224" s="184">
        <v>3.57</v>
      </c>
      <c r="F224" s="186">
        <v>50</v>
      </c>
      <c r="G224" s="187">
        <f t="shared" si="25"/>
        <v>178.5</v>
      </c>
      <c r="I224" s="187"/>
      <c r="J224" s="188"/>
    </row>
    <row r="225" spans="1:10" x14ac:dyDescent="0.25">
      <c r="A225" s="182"/>
      <c r="B225" s="183"/>
      <c r="C225" s="184"/>
      <c r="D225" s="184" t="s">
        <v>382</v>
      </c>
      <c r="E225" s="184">
        <v>2.82</v>
      </c>
      <c r="F225" s="186">
        <v>50</v>
      </c>
      <c r="G225" s="187">
        <f t="shared" si="25"/>
        <v>141</v>
      </c>
      <c r="I225" s="187"/>
      <c r="J225" s="188"/>
    </row>
    <row r="226" spans="1:10" x14ac:dyDescent="0.25">
      <c r="A226" s="182"/>
      <c r="B226" s="183"/>
      <c r="C226" s="184"/>
      <c r="D226" s="184" t="s">
        <v>383</v>
      </c>
      <c r="E226" s="184">
        <v>2.5499999999999998</v>
      </c>
      <c r="F226" s="186">
        <v>50</v>
      </c>
      <c r="G226" s="187">
        <f t="shared" si="25"/>
        <v>127.49999999999999</v>
      </c>
      <c r="I226" s="187"/>
      <c r="J226" s="188"/>
    </row>
    <row r="227" spans="1:10" x14ac:dyDescent="0.25">
      <c r="A227" s="182"/>
      <c r="B227" s="183"/>
      <c r="C227" s="184"/>
      <c r="D227" s="184" t="s">
        <v>384</v>
      </c>
      <c r="E227" s="184">
        <v>0</v>
      </c>
      <c r="F227" s="186">
        <v>50</v>
      </c>
      <c r="G227" s="187">
        <f t="shared" si="25"/>
        <v>0</v>
      </c>
      <c r="I227" s="187"/>
      <c r="J227" s="188"/>
    </row>
    <row r="228" spans="1:10" x14ac:dyDescent="0.25">
      <c r="A228" s="182"/>
      <c r="B228" s="183"/>
      <c r="C228" s="184"/>
      <c r="D228" s="184" t="s">
        <v>385</v>
      </c>
      <c r="E228" s="184">
        <v>0</v>
      </c>
      <c r="F228" s="186">
        <v>75</v>
      </c>
      <c r="G228" s="187">
        <f t="shared" si="25"/>
        <v>0</v>
      </c>
      <c r="I228" s="187"/>
      <c r="J228" s="188"/>
    </row>
    <row r="229" spans="1:10" x14ac:dyDescent="0.25">
      <c r="A229" s="189"/>
      <c r="B229" s="190"/>
      <c r="C229" s="191"/>
      <c r="D229" s="191" t="s">
        <v>386</v>
      </c>
      <c r="E229" s="191">
        <v>0</v>
      </c>
      <c r="F229" s="192">
        <v>60</v>
      </c>
      <c r="G229" s="192">
        <f t="shared" si="25"/>
        <v>0</v>
      </c>
      <c r="H229" s="179"/>
      <c r="I229" s="193"/>
      <c r="J229" s="194"/>
    </row>
    <row r="230" spans="1:10" x14ac:dyDescent="0.25">
      <c r="A230" s="182"/>
      <c r="B230" s="183"/>
      <c r="C230" s="184">
        <f>SUM(C221)</f>
        <v>11.12</v>
      </c>
      <c r="D230" s="184"/>
      <c r="E230" s="184">
        <f>SUM(E221)</f>
        <v>11.120000000000001</v>
      </c>
      <c r="F230" s="184"/>
      <c r="G230" s="186">
        <f>SUM(G221)</f>
        <v>577.79999999999995</v>
      </c>
      <c r="I230" s="187">
        <f>SUM(I221)</f>
        <v>345.98</v>
      </c>
    </row>
    <row r="231" spans="1:10" x14ac:dyDescent="0.25">
      <c r="A231" s="182"/>
      <c r="B231" s="183"/>
      <c r="C231" s="184"/>
      <c r="D231" s="184"/>
      <c r="E231" s="184"/>
      <c r="F231" s="184"/>
      <c r="G231" s="184"/>
      <c r="I231" s="185"/>
    </row>
    <row r="232" spans="1:10" x14ac:dyDescent="0.25">
      <c r="A232" s="182" t="s">
        <v>401</v>
      </c>
      <c r="B232" s="183" t="s">
        <v>374</v>
      </c>
      <c r="C232" s="184"/>
      <c r="D232" s="184"/>
      <c r="E232" s="184"/>
      <c r="F232" s="184"/>
      <c r="G232" s="184"/>
      <c r="I232" s="185"/>
    </row>
    <row r="233" spans="1:10" x14ac:dyDescent="0.25">
      <c r="A233" s="210" t="s">
        <v>245</v>
      </c>
      <c r="B233" s="211" t="s">
        <v>402</v>
      </c>
      <c r="C233" s="219">
        <v>1.4</v>
      </c>
      <c r="D233" s="219"/>
      <c r="E233" s="219">
        <f>SUM(E234:E241)</f>
        <v>1.4</v>
      </c>
      <c r="F233" s="220"/>
      <c r="G233" s="208">
        <f>SUM(G234:G241)</f>
        <v>70</v>
      </c>
      <c r="H233" s="213"/>
      <c r="I233" s="208">
        <v>48.59</v>
      </c>
      <c r="J233" s="214">
        <f>G233-I233</f>
        <v>21.409999999999997</v>
      </c>
    </row>
    <row r="234" spans="1:10" x14ac:dyDescent="0.25">
      <c r="A234" s="182"/>
      <c r="B234" s="183"/>
      <c r="C234" s="185"/>
      <c r="D234" s="184" t="s">
        <v>379</v>
      </c>
      <c r="E234" s="185">
        <v>0</v>
      </c>
      <c r="F234" s="186">
        <v>60</v>
      </c>
      <c r="G234" s="187">
        <f>F234*E234</f>
        <v>0</v>
      </c>
      <c r="I234" s="187"/>
      <c r="J234" s="188"/>
    </row>
    <row r="235" spans="1:10" x14ac:dyDescent="0.25">
      <c r="A235" s="182"/>
      <c r="B235" s="183"/>
      <c r="C235" s="184"/>
      <c r="D235" s="184" t="s">
        <v>380</v>
      </c>
      <c r="E235" s="184">
        <v>0</v>
      </c>
      <c r="F235" s="186">
        <v>60</v>
      </c>
      <c r="G235" s="187">
        <f t="shared" ref="G235:G241" si="26">F235*E235</f>
        <v>0</v>
      </c>
      <c r="I235" s="187"/>
      <c r="J235" s="188"/>
    </row>
    <row r="236" spans="1:10" x14ac:dyDescent="0.25">
      <c r="A236" s="182"/>
      <c r="B236" s="183"/>
      <c r="C236" s="184"/>
      <c r="D236" s="184" t="s">
        <v>381</v>
      </c>
      <c r="E236" s="184">
        <v>1.4</v>
      </c>
      <c r="F236" s="186">
        <v>50</v>
      </c>
      <c r="G236" s="187">
        <f t="shared" si="26"/>
        <v>70</v>
      </c>
      <c r="I236" s="187"/>
      <c r="J236" s="188"/>
    </row>
    <row r="237" spans="1:10" x14ac:dyDescent="0.25">
      <c r="A237" s="182"/>
      <c r="B237" s="183"/>
      <c r="C237" s="184"/>
      <c r="D237" s="184" t="s">
        <v>382</v>
      </c>
      <c r="E237" s="184">
        <v>0</v>
      </c>
      <c r="F237" s="186">
        <v>50</v>
      </c>
      <c r="G237" s="187">
        <f t="shared" si="26"/>
        <v>0</v>
      </c>
      <c r="I237" s="187"/>
      <c r="J237" s="188"/>
    </row>
    <row r="238" spans="1:10" x14ac:dyDescent="0.25">
      <c r="A238" s="182"/>
      <c r="B238" s="183"/>
      <c r="C238" s="184"/>
      <c r="D238" s="184" t="s">
        <v>383</v>
      </c>
      <c r="E238" s="184">
        <v>0</v>
      </c>
      <c r="F238" s="186">
        <v>50</v>
      </c>
      <c r="G238" s="187">
        <f t="shared" si="26"/>
        <v>0</v>
      </c>
      <c r="I238" s="187"/>
      <c r="J238" s="188"/>
    </row>
    <row r="239" spans="1:10" x14ac:dyDescent="0.25">
      <c r="A239" s="182"/>
      <c r="B239" s="183"/>
      <c r="C239" s="184"/>
      <c r="D239" s="184" t="s">
        <v>384</v>
      </c>
      <c r="E239" s="184">
        <v>0</v>
      </c>
      <c r="F239" s="186">
        <v>50</v>
      </c>
      <c r="G239" s="187">
        <f t="shared" si="26"/>
        <v>0</v>
      </c>
      <c r="I239" s="187"/>
      <c r="J239" s="188"/>
    </row>
    <row r="240" spans="1:10" x14ac:dyDescent="0.25">
      <c r="A240" s="182"/>
      <c r="B240" s="183"/>
      <c r="C240" s="184"/>
      <c r="D240" s="184" t="s">
        <v>385</v>
      </c>
      <c r="E240" s="184">
        <v>0</v>
      </c>
      <c r="F240" s="186">
        <v>75</v>
      </c>
      <c r="G240" s="187">
        <f t="shared" si="26"/>
        <v>0</v>
      </c>
      <c r="I240" s="187"/>
      <c r="J240" s="188"/>
    </row>
    <row r="241" spans="1:10" x14ac:dyDescent="0.25">
      <c r="A241" s="189"/>
      <c r="B241" s="190"/>
      <c r="C241" s="191"/>
      <c r="D241" s="191" t="s">
        <v>386</v>
      </c>
      <c r="E241" s="191">
        <v>0</v>
      </c>
      <c r="F241" s="192">
        <v>60</v>
      </c>
      <c r="G241" s="192">
        <f t="shared" si="26"/>
        <v>0</v>
      </c>
      <c r="H241" s="179"/>
      <c r="I241" s="193"/>
      <c r="J241" s="194"/>
    </row>
    <row r="242" spans="1:10" x14ac:dyDescent="0.25">
      <c r="A242" s="182"/>
      <c r="B242" s="183"/>
      <c r="C242" s="184">
        <f>SUM(C233)</f>
        <v>1.4</v>
      </c>
      <c r="D242" s="184"/>
      <c r="E242" s="184">
        <f>SUM(E233)</f>
        <v>1.4</v>
      </c>
      <c r="F242" s="184"/>
      <c r="G242" s="186">
        <f>SUM(G233)</f>
        <v>70</v>
      </c>
      <c r="I242" s="187">
        <f>SUM(I233)</f>
        <v>48.59</v>
      </c>
    </row>
    <row r="243" spans="1:10" x14ac:dyDescent="0.25">
      <c r="A243" s="182"/>
      <c r="B243" s="183"/>
      <c r="C243" s="184"/>
      <c r="D243" s="184"/>
      <c r="E243" s="184"/>
      <c r="F243" s="184"/>
      <c r="G243" s="184"/>
      <c r="I243" s="185"/>
    </row>
    <row r="244" spans="1:10" x14ac:dyDescent="0.25">
      <c r="A244" s="182" t="s">
        <v>403</v>
      </c>
      <c r="B244" s="183" t="s">
        <v>404</v>
      </c>
      <c r="C244" s="184"/>
      <c r="D244" s="184"/>
      <c r="E244" s="184"/>
      <c r="F244" s="184"/>
      <c r="G244" s="184"/>
      <c r="I244" s="185"/>
    </row>
    <row r="245" spans="1:10" x14ac:dyDescent="0.25">
      <c r="A245" s="210" t="s">
        <v>375</v>
      </c>
      <c r="B245" s="211" t="s">
        <v>405</v>
      </c>
      <c r="C245" s="219">
        <v>4.75</v>
      </c>
      <c r="D245" s="219"/>
      <c r="E245" s="219">
        <f>SUM(E246:E253)</f>
        <v>0</v>
      </c>
      <c r="F245" s="220"/>
      <c r="G245" s="208">
        <f>SUM(G246:G253)</f>
        <v>0</v>
      </c>
      <c r="H245" s="213"/>
      <c r="I245" s="208">
        <v>262.38</v>
      </c>
      <c r="J245" s="214">
        <f>G245-I245</f>
        <v>-262.38</v>
      </c>
    </row>
    <row r="246" spans="1:10" x14ac:dyDescent="0.25">
      <c r="A246" s="182"/>
      <c r="B246" s="183"/>
      <c r="C246" s="185"/>
      <c r="D246" s="184" t="s">
        <v>379</v>
      </c>
      <c r="E246" s="185">
        <v>0</v>
      </c>
      <c r="F246" s="186">
        <v>60</v>
      </c>
      <c r="G246" s="187">
        <f>F246*E246</f>
        <v>0</v>
      </c>
      <c r="I246" s="187"/>
      <c r="J246" s="188"/>
    </row>
    <row r="247" spans="1:10" x14ac:dyDescent="0.25">
      <c r="A247" s="182"/>
      <c r="B247" s="183"/>
      <c r="C247" s="184"/>
      <c r="D247" s="184" t="s">
        <v>380</v>
      </c>
      <c r="E247" s="184">
        <v>0</v>
      </c>
      <c r="F247" s="186">
        <v>60</v>
      </c>
      <c r="G247" s="187">
        <f t="shared" ref="G247:G253" si="27">F247*E247</f>
        <v>0</v>
      </c>
      <c r="I247" s="187"/>
      <c r="J247" s="188"/>
    </row>
    <row r="248" spans="1:10" x14ac:dyDescent="0.25">
      <c r="A248" s="182"/>
      <c r="B248" s="183"/>
      <c r="C248" s="184"/>
      <c r="D248" s="184" t="s">
        <v>381</v>
      </c>
      <c r="E248" s="184">
        <v>0</v>
      </c>
      <c r="F248" s="186">
        <v>50</v>
      </c>
      <c r="G248" s="187">
        <f t="shared" si="27"/>
        <v>0</v>
      </c>
      <c r="I248" s="187"/>
      <c r="J248" s="188"/>
    </row>
    <row r="249" spans="1:10" x14ac:dyDescent="0.25">
      <c r="A249" s="182"/>
      <c r="B249" s="183"/>
      <c r="C249" s="184"/>
      <c r="D249" s="184" t="s">
        <v>382</v>
      </c>
      <c r="E249" s="184">
        <v>0</v>
      </c>
      <c r="F249" s="186">
        <v>50</v>
      </c>
      <c r="G249" s="187">
        <f t="shared" si="27"/>
        <v>0</v>
      </c>
      <c r="I249" s="187"/>
      <c r="J249" s="188"/>
    </row>
    <row r="250" spans="1:10" x14ac:dyDescent="0.25">
      <c r="A250" s="182"/>
      <c r="B250" s="183"/>
      <c r="C250" s="184"/>
      <c r="D250" s="184" t="s">
        <v>383</v>
      </c>
      <c r="E250" s="184">
        <v>0</v>
      </c>
      <c r="F250" s="186">
        <v>50</v>
      </c>
      <c r="G250" s="187">
        <f t="shared" si="27"/>
        <v>0</v>
      </c>
      <c r="I250" s="187"/>
      <c r="J250" s="188"/>
    </row>
    <row r="251" spans="1:10" x14ac:dyDescent="0.25">
      <c r="A251" s="182"/>
      <c r="B251" s="183"/>
      <c r="C251" s="184"/>
      <c r="D251" s="184" t="s">
        <v>384</v>
      </c>
      <c r="E251" s="184">
        <v>0</v>
      </c>
      <c r="F251" s="186">
        <v>50</v>
      </c>
      <c r="G251" s="187">
        <f t="shared" si="27"/>
        <v>0</v>
      </c>
      <c r="I251" s="187"/>
      <c r="J251" s="188"/>
    </row>
    <row r="252" spans="1:10" x14ac:dyDescent="0.25">
      <c r="A252" s="182"/>
      <c r="B252" s="183"/>
      <c r="C252" s="184"/>
      <c r="D252" s="184" t="s">
        <v>385</v>
      </c>
      <c r="E252" s="184">
        <v>0</v>
      </c>
      <c r="F252" s="186">
        <v>75</v>
      </c>
      <c r="G252" s="187">
        <f t="shared" si="27"/>
        <v>0</v>
      </c>
      <c r="I252" s="187"/>
      <c r="J252" s="188"/>
    </row>
    <row r="253" spans="1:10" x14ac:dyDescent="0.25">
      <c r="A253" s="189"/>
      <c r="B253" s="190"/>
      <c r="C253" s="191"/>
      <c r="D253" s="191" t="s">
        <v>386</v>
      </c>
      <c r="E253" s="191">
        <v>0</v>
      </c>
      <c r="F253" s="192">
        <v>60</v>
      </c>
      <c r="G253" s="192">
        <f t="shared" si="27"/>
        <v>0</v>
      </c>
      <c r="H253" s="179"/>
      <c r="I253" s="193"/>
      <c r="J253" s="194"/>
    </row>
    <row r="254" spans="1:10" x14ac:dyDescent="0.25">
      <c r="A254" s="182"/>
      <c r="B254" s="183"/>
      <c r="C254" s="184"/>
      <c r="D254" s="184"/>
      <c r="E254" s="184">
        <f>SUM(E245)</f>
        <v>0</v>
      </c>
      <c r="F254" s="184"/>
      <c r="G254" s="186">
        <f>SUM(G245)</f>
        <v>0</v>
      </c>
      <c r="I254" s="187">
        <f>SUM(I245)</f>
        <v>262.38</v>
      </c>
    </row>
    <row r="255" spans="1:10" x14ac:dyDescent="0.25">
      <c r="A255" s="210" t="s">
        <v>406</v>
      </c>
      <c r="B255" s="211" t="s">
        <v>407</v>
      </c>
      <c r="C255" s="219">
        <v>1</v>
      </c>
      <c r="D255" s="219"/>
      <c r="E255" s="219">
        <f>SUM(E256:E263)</f>
        <v>0</v>
      </c>
      <c r="F255" s="220"/>
      <c r="G255" s="208">
        <f>SUM(G256:G263)</f>
        <v>0</v>
      </c>
      <c r="H255" s="213"/>
      <c r="I255" s="208">
        <v>95.84</v>
      </c>
      <c r="J255" s="214">
        <f>G255-I255</f>
        <v>-95.84</v>
      </c>
    </row>
    <row r="256" spans="1:10" x14ac:dyDescent="0.25">
      <c r="A256" s="182"/>
      <c r="B256" s="183"/>
      <c r="C256" s="185"/>
      <c r="D256" s="184" t="s">
        <v>379</v>
      </c>
      <c r="E256" s="185">
        <v>0</v>
      </c>
      <c r="F256" s="186">
        <v>60</v>
      </c>
      <c r="G256" s="187">
        <f>F256*E256</f>
        <v>0</v>
      </c>
      <c r="I256" s="187"/>
      <c r="J256" s="188"/>
    </row>
    <row r="257" spans="1:10" x14ac:dyDescent="0.25">
      <c r="A257" s="182"/>
      <c r="B257" s="183"/>
      <c r="C257" s="184"/>
      <c r="D257" s="184" t="s">
        <v>380</v>
      </c>
      <c r="E257" s="184">
        <v>0</v>
      </c>
      <c r="F257" s="186">
        <v>60</v>
      </c>
      <c r="G257" s="187">
        <f t="shared" ref="G257:G263" si="28">F257*E257</f>
        <v>0</v>
      </c>
      <c r="I257" s="187"/>
      <c r="J257" s="188"/>
    </row>
    <row r="258" spans="1:10" x14ac:dyDescent="0.25">
      <c r="A258" s="182"/>
      <c r="B258" s="183"/>
      <c r="C258" s="184"/>
      <c r="D258" s="184" t="s">
        <v>381</v>
      </c>
      <c r="E258" s="184">
        <v>0</v>
      </c>
      <c r="F258" s="186">
        <v>50</v>
      </c>
      <c r="G258" s="187">
        <f t="shared" si="28"/>
        <v>0</v>
      </c>
      <c r="I258" s="187"/>
      <c r="J258" s="188"/>
    </row>
    <row r="259" spans="1:10" x14ac:dyDescent="0.25">
      <c r="A259" s="182"/>
      <c r="B259" s="183"/>
      <c r="C259" s="184"/>
      <c r="D259" s="184" t="s">
        <v>382</v>
      </c>
      <c r="E259" s="184">
        <v>0</v>
      </c>
      <c r="F259" s="186">
        <v>50</v>
      </c>
      <c r="G259" s="187">
        <f t="shared" si="28"/>
        <v>0</v>
      </c>
      <c r="I259" s="187"/>
      <c r="J259" s="188"/>
    </row>
    <row r="260" spans="1:10" x14ac:dyDescent="0.25">
      <c r="A260" s="182"/>
      <c r="B260" s="183"/>
      <c r="C260" s="184"/>
      <c r="D260" s="184" t="s">
        <v>383</v>
      </c>
      <c r="E260" s="184">
        <v>0</v>
      </c>
      <c r="F260" s="186">
        <v>50</v>
      </c>
      <c r="G260" s="187">
        <f t="shared" si="28"/>
        <v>0</v>
      </c>
      <c r="I260" s="187"/>
      <c r="J260" s="188"/>
    </row>
    <row r="261" spans="1:10" x14ac:dyDescent="0.25">
      <c r="A261" s="182"/>
      <c r="B261" s="183"/>
      <c r="C261" s="184"/>
      <c r="D261" s="184" t="s">
        <v>384</v>
      </c>
      <c r="E261" s="184">
        <v>0</v>
      </c>
      <c r="F261" s="186">
        <v>50</v>
      </c>
      <c r="G261" s="187">
        <f t="shared" si="28"/>
        <v>0</v>
      </c>
      <c r="I261" s="187"/>
      <c r="J261" s="188"/>
    </row>
    <row r="262" spans="1:10" x14ac:dyDescent="0.25">
      <c r="A262" s="182"/>
      <c r="B262" s="183"/>
      <c r="C262" s="184"/>
      <c r="D262" s="184" t="s">
        <v>385</v>
      </c>
      <c r="E262" s="184">
        <v>0</v>
      </c>
      <c r="F262" s="186">
        <v>75</v>
      </c>
      <c r="G262" s="187">
        <f t="shared" si="28"/>
        <v>0</v>
      </c>
      <c r="I262" s="187"/>
      <c r="J262" s="188"/>
    </row>
    <row r="263" spans="1:10" x14ac:dyDescent="0.25">
      <c r="A263" s="189"/>
      <c r="B263" s="190"/>
      <c r="C263" s="191"/>
      <c r="D263" s="191" t="s">
        <v>386</v>
      </c>
      <c r="E263" s="191">
        <v>0</v>
      </c>
      <c r="F263" s="192">
        <v>60</v>
      </c>
      <c r="G263" s="192">
        <f t="shared" si="28"/>
        <v>0</v>
      </c>
      <c r="H263" s="179"/>
      <c r="I263" s="193"/>
      <c r="J263" s="194"/>
    </row>
    <row r="264" spans="1:10" x14ac:dyDescent="0.25">
      <c r="A264" s="182"/>
      <c r="B264" s="183"/>
      <c r="C264" s="184">
        <f>SUM(C245:C263)</f>
        <v>5.75</v>
      </c>
      <c r="D264" s="184"/>
      <c r="E264" s="184">
        <f>SUM(E255)</f>
        <v>0</v>
      </c>
      <c r="F264" s="184"/>
      <c r="G264" s="186">
        <f>SUM(G255)</f>
        <v>0</v>
      </c>
      <c r="I264" s="187">
        <f>SUM(I255)</f>
        <v>95.84</v>
      </c>
    </row>
    <row r="265" spans="1:10" x14ac:dyDescent="0.25">
      <c r="A265" s="182"/>
      <c r="B265" s="183"/>
      <c r="C265" s="184"/>
      <c r="D265" s="184"/>
      <c r="E265" s="184"/>
      <c r="F265" s="184"/>
      <c r="G265" s="184"/>
      <c r="I265" s="185"/>
    </row>
    <row r="266" spans="1:10" x14ac:dyDescent="0.25">
      <c r="A266" s="182" t="s">
        <v>408</v>
      </c>
      <c r="B266" s="183" t="s">
        <v>376</v>
      </c>
      <c r="C266" s="184"/>
      <c r="D266" s="184"/>
      <c r="E266" s="184"/>
      <c r="F266" s="184"/>
      <c r="G266" s="184"/>
      <c r="I266" s="185"/>
    </row>
    <row r="267" spans="1:10" x14ac:dyDescent="0.25">
      <c r="A267" s="210" t="s">
        <v>257</v>
      </c>
      <c r="B267" s="211" t="s">
        <v>256</v>
      </c>
      <c r="C267" s="219">
        <v>0.97</v>
      </c>
      <c r="D267" s="219"/>
      <c r="E267" s="219">
        <f>SUM(E268:E275)</f>
        <v>0.97</v>
      </c>
      <c r="F267" s="220"/>
      <c r="G267" s="208">
        <f>SUM(G268:G275)</f>
        <v>48.5</v>
      </c>
      <c r="H267" s="213"/>
      <c r="I267" s="208">
        <v>16.489999999999998</v>
      </c>
      <c r="J267" s="214">
        <f>G267-I267</f>
        <v>32.010000000000005</v>
      </c>
    </row>
    <row r="268" spans="1:10" x14ac:dyDescent="0.25">
      <c r="A268" s="182"/>
      <c r="B268" s="183"/>
      <c r="C268" s="185"/>
      <c r="D268" s="184" t="s">
        <v>379</v>
      </c>
      <c r="E268" s="185">
        <v>0</v>
      </c>
      <c r="F268" s="186">
        <v>60</v>
      </c>
      <c r="G268" s="187">
        <f>F268*E268</f>
        <v>0</v>
      </c>
      <c r="I268" s="187"/>
      <c r="J268" s="188"/>
    </row>
    <row r="269" spans="1:10" x14ac:dyDescent="0.25">
      <c r="A269" s="182"/>
      <c r="B269" s="183"/>
      <c r="C269" s="184"/>
      <c r="D269" s="184" t="s">
        <v>380</v>
      </c>
      <c r="E269" s="184">
        <v>0</v>
      </c>
      <c r="F269" s="186">
        <v>60</v>
      </c>
      <c r="G269" s="187">
        <f t="shared" ref="G269:G275" si="29">F269*E269</f>
        <v>0</v>
      </c>
      <c r="I269" s="187"/>
      <c r="J269" s="188"/>
    </row>
    <row r="270" spans="1:10" x14ac:dyDescent="0.25">
      <c r="A270" s="182"/>
      <c r="B270" s="183"/>
      <c r="C270" s="184"/>
      <c r="D270" s="184" t="s">
        <v>381</v>
      </c>
      <c r="E270" s="184">
        <v>0</v>
      </c>
      <c r="F270" s="186">
        <v>50</v>
      </c>
      <c r="G270" s="187">
        <f t="shared" si="29"/>
        <v>0</v>
      </c>
      <c r="I270" s="187"/>
      <c r="J270" s="188"/>
    </row>
    <row r="271" spans="1:10" x14ac:dyDescent="0.25">
      <c r="A271" s="182"/>
      <c r="B271" s="183"/>
      <c r="C271" s="184"/>
      <c r="D271" s="184" t="s">
        <v>382</v>
      </c>
      <c r="E271" s="184">
        <v>0.97</v>
      </c>
      <c r="F271" s="186">
        <v>50</v>
      </c>
      <c r="G271" s="187">
        <f t="shared" si="29"/>
        <v>48.5</v>
      </c>
      <c r="I271" s="187"/>
      <c r="J271" s="188"/>
    </row>
    <row r="272" spans="1:10" x14ac:dyDescent="0.25">
      <c r="A272" s="182"/>
      <c r="B272" s="183"/>
      <c r="C272" s="184"/>
      <c r="D272" s="184" t="s">
        <v>383</v>
      </c>
      <c r="E272" s="184">
        <v>0</v>
      </c>
      <c r="F272" s="186">
        <v>50</v>
      </c>
      <c r="G272" s="187">
        <f t="shared" si="29"/>
        <v>0</v>
      </c>
      <c r="I272" s="187"/>
      <c r="J272" s="188"/>
    </row>
    <row r="273" spans="1:10" x14ac:dyDescent="0.25">
      <c r="A273" s="182"/>
      <c r="B273" s="183"/>
      <c r="C273" s="184"/>
      <c r="D273" s="184" t="s">
        <v>384</v>
      </c>
      <c r="E273" s="184">
        <v>0</v>
      </c>
      <c r="F273" s="186">
        <v>50</v>
      </c>
      <c r="G273" s="187">
        <f t="shared" si="29"/>
        <v>0</v>
      </c>
      <c r="I273" s="187"/>
      <c r="J273" s="188"/>
    </row>
    <row r="274" spans="1:10" x14ac:dyDescent="0.25">
      <c r="A274" s="182"/>
      <c r="B274" s="183"/>
      <c r="C274" s="184"/>
      <c r="D274" s="184" t="s">
        <v>385</v>
      </c>
      <c r="E274" s="184">
        <v>0</v>
      </c>
      <c r="F274" s="186">
        <v>75</v>
      </c>
      <c r="G274" s="187">
        <f t="shared" si="29"/>
        <v>0</v>
      </c>
      <c r="I274" s="187"/>
      <c r="J274" s="188"/>
    </row>
    <row r="275" spans="1:10" x14ac:dyDescent="0.25">
      <c r="A275" s="189"/>
      <c r="B275" s="190"/>
      <c r="C275" s="191"/>
      <c r="D275" s="191" t="s">
        <v>386</v>
      </c>
      <c r="E275" s="191">
        <v>0</v>
      </c>
      <c r="F275" s="192">
        <v>60</v>
      </c>
      <c r="G275" s="192">
        <f t="shared" si="29"/>
        <v>0</v>
      </c>
      <c r="H275" s="179"/>
      <c r="I275" s="193"/>
      <c r="J275" s="194"/>
    </row>
    <row r="276" spans="1:10" x14ac:dyDescent="0.25">
      <c r="A276" s="182"/>
      <c r="B276" s="183"/>
      <c r="C276" s="184">
        <f>SUM(C267)</f>
        <v>0.97</v>
      </c>
      <c r="D276" s="184"/>
      <c r="E276" s="184">
        <f>SUM(E267)</f>
        <v>0.97</v>
      </c>
      <c r="F276" s="184"/>
      <c r="G276" s="186">
        <f>SUM(G267)</f>
        <v>48.5</v>
      </c>
      <c r="I276" s="187">
        <f>SUM(I267)</f>
        <v>16.489999999999998</v>
      </c>
    </row>
    <row r="277" spans="1:10" x14ac:dyDescent="0.25">
      <c r="A277" s="182"/>
      <c r="B277" s="183"/>
      <c r="C277" s="184"/>
      <c r="D277" s="184"/>
      <c r="E277" s="184"/>
      <c r="F277" s="184"/>
      <c r="G277" s="184"/>
      <c r="I277" s="185"/>
    </row>
    <row r="278" spans="1:10" x14ac:dyDescent="0.25">
      <c r="A278" s="182" t="s">
        <v>409</v>
      </c>
      <c r="B278" s="183" t="s">
        <v>410</v>
      </c>
      <c r="C278" s="184"/>
      <c r="D278" s="184"/>
      <c r="E278" s="184"/>
      <c r="F278" s="184"/>
      <c r="G278" s="184"/>
      <c r="I278" s="185"/>
    </row>
    <row r="279" spans="1:10" x14ac:dyDescent="0.25">
      <c r="A279" s="210" t="s">
        <v>280</v>
      </c>
      <c r="B279" s="211" t="s">
        <v>411</v>
      </c>
      <c r="C279" s="219">
        <v>53.47</v>
      </c>
      <c r="D279" s="219"/>
      <c r="E279" s="219">
        <f>SUM(E280:E288)</f>
        <v>53.470000000000006</v>
      </c>
      <c r="F279" s="232"/>
      <c r="G279" s="233">
        <f>SUM(G280:G288)</f>
        <v>3133.82</v>
      </c>
      <c r="H279" s="213"/>
      <c r="I279" s="233">
        <v>2387.75</v>
      </c>
      <c r="J279" s="214">
        <f>G279-I279</f>
        <v>746.07000000000016</v>
      </c>
    </row>
    <row r="280" spans="1:10" x14ac:dyDescent="0.25">
      <c r="A280" s="182"/>
      <c r="B280" s="183"/>
      <c r="C280" s="185"/>
      <c r="D280" s="184" t="s">
        <v>379</v>
      </c>
      <c r="E280" s="185">
        <v>42.78</v>
      </c>
      <c r="F280" s="186">
        <v>60</v>
      </c>
      <c r="G280" s="187">
        <f>F280*E280</f>
        <v>2566.8000000000002</v>
      </c>
      <c r="I280" s="187"/>
      <c r="J280" s="188"/>
    </row>
    <row r="281" spans="1:10" x14ac:dyDescent="0.25">
      <c r="A281" s="182"/>
      <c r="B281" s="183"/>
      <c r="C281" s="184"/>
      <c r="D281" s="184" t="s">
        <v>380</v>
      </c>
      <c r="E281" s="184">
        <v>3.02</v>
      </c>
      <c r="F281" s="186">
        <v>60</v>
      </c>
      <c r="G281" s="187">
        <f t="shared" ref="G281:G288" si="30">F281*E281</f>
        <v>181.2</v>
      </c>
      <c r="I281" s="187"/>
      <c r="J281" s="188"/>
    </row>
    <row r="282" spans="1:10" x14ac:dyDescent="0.25">
      <c r="A282" s="182"/>
      <c r="B282" s="183"/>
      <c r="C282" s="184"/>
      <c r="D282" s="184" t="s">
        <v>381</v>
      </c>
      <c r="E282" s="184">
        <v>0</v>
      </c>
      <c r="F282" s="186">
        <v>50</v>
      </c>
      <c r="G282" s="187">
        <f t="shared" si="30"/>
        <v>0</v>
      </c>
      <c r="I282" s="187"/>
      <c r="J282" s="188"/>
    </row>
    <row r="283" spans="1:10" x14ac:dyDescent="0.25">
      <c r="A283" s="182"/>
      <c r="B283" s="183"/>
      <c r="C283" s="184"/>
      <c r="D283" s="184" t="s">
        <v>382</v>
      </c>
      <c r="E283" s="184">
        <v>0.83</v>
      </c>
      <c r="F283" s="186">
        <v>50</v>
      </c>
      <c r="G283" s="187">
        <f t="shared" si="30"/>
        <v>41.5</v>
      </c>
      <c r="I283" s="187"/>
      <c r="J283" s="188"/>
    </row>
    <row r="284" spans="1:10" x14ac:dyDescent="0.25">
      <c r="A284" s="182"/>
      <c r="B284" s="183"/>
      <c r="C284" s="184"/>
      <c r="D284" s="184" t="s">
        <v>383</v>
      </c>
      <c r="E284" s="184">
        <v>4.5199999999999996</v>
      </c>
      <c r="F284" s="186">
        <v>50</v>
      </c>
      <c r="G284" s="187">
        <f t="shared" si="30"/>
        <v>225.99999999999997</v>
      </c>
      <c r="I284" s="187"/>
      <c r="J284" s="188"/>
    </row>
    <row r="285" spans="1:10" x14ac:dyDescent="0.25">
      <c r="A285" s="182"/>
      <c r="B285" s="183"/>
      <c r="C285" s="184"/>
      <c r="D285" s="184" t="s">
        <v>384</v>
      </c>
      <c r="E285" s="184">
        <v>0</v>
      </c>
      <c r="F285" s="186">
        <v>50</v>
      </c>
      <c r="G285" s="187">
        <f t="shared" si="30"/>
        <v>0</v>
      </c>
      <c r="I285" s="187"/>
      <c r="J285" s="188"/>
    </row>
    <row r="286" spans="1:10" x14ac:dyDescent="0.25">
      <c r="A286" s="182"/>
      <c r="B286" s="183"/>
      <c r="C286" s="184"/>
      <c r="D286" s="184" t="s">
        <v>448</v>
      </c>
      <c r="E286" s="184">
        <v>2.3199999999999998</v>
      </c>
      <c r="F286" s="186">
        <v>51</v>
      </c>
      <c r="G286" s="187">
        <f t="shared" ref="G286" si="31">F286*E286</f>
        <v>118.32</v>
      </c>
      <c r="I286" s="187"/>
      <c r="J286" s="188"/>
    </row>
    <row r="287" spans="1:10" x14ac:dyDescent="0.25">
      <c r="A287" s="182"/>
      <c r="B287" s="183"/>
      <c r="C287" s="184"/>
      <c r="D287" s="184" t="s">
        <v>385</v>
      </c>
      <c r="E287" s="184">
        <v>0</v>
      </c>
      <c r="F287" s="186">
        <v>75</v>
      </c>
      <c r="G287" s="187">
        <f t="shared" si="30"/>
        <v>0</v>
      </c>
      <c r="I287" s="187"/>
      <c r="J287" s="188"/>
    </row>
    <row r="288" spans="1:10" x14ac:dyDescent="0.25">
      <c r="A288" s="189"/>
      <c r="B288" s="190"/>
      <c r="C288" s="191"/>
      <c r="D288" s="191" t="s">
        <v>386</v>
      </c>
      <c r="E288" s="191">
        <v>0</v>
      </c>
      <c r="F288" s="192">
        <v>60</v>
      </c>
      <c r="G288" s="192">
        <f t="shared" si="30"/>
        <v>0</v>
      </c>
      <c r="H288" s="179"/>
      <c r="I288" s="193"/>
      <c r="J288" s="194"/>
    </row>
    <row r="289" spans="1:10" x14ac:dyDescent="0.25">
      <c r="A289" s="182"/>
      <c r="B289" s="183"/>
      <c r="C289" s="184">
        <f>SUM(C279)</f>
        <v>53.47</v>
      </c>
      <c r="D289" s="184"/>
      <c r="E289" s="184">
        <f>SUM(E279)</f>
        <v>53.470000000000006</v>
      </c>
      <c r="F289" s="184"/>
      <c r="G289" s="186">
        <f>SUM(G279)</f>
        <v>3133.82</v>
      </c>
      <c r="I289" s="187">
        <f>SUM(I279)</f>
        <v>2387.75</v>
      </c>
    </row>
    <row r="290" spans="1:10" x14ac:dyDescent="0.25">
      <c r="A290" s="182"/>
      <c r="B290" s="183"/>
      <c r="C290" s="184"/>
      <c r="D290" s="184"/>
      <c r="E290" s="184"/>
      <c r="F290" s="184"/>
      <c r="G290" s="184"/>
      <c r="I290" s="185"/>
    </row>
    <row r="291" spans="1:10" x14ac:dyDescent="0.25">
      <c r="A291" s="182" t="s">
        <v>412</v>
      </c>
      <c r="B291" s="183" t="s">
        <v>413</v>
      </c>
      <c r="C291" s="184"/>
      <c r="D291" s="184"/>
      <c r="E291" s="184"/>
      <c r="F291" s="184"/>
      <c r="G291" s="184"/>
      <c r="I291" s="185"/>
    </row>
    <row r="292" spans="1:10" x14ac:dyDescent="0.25">
      <c r="A292" s="210" t="s">
        <v>285</v>
      </c>
      <c r="B292" s="211" t="s">
        <v>286</v>
      </c>
      <c r="C292" s="219">
        <v>13.48</v>
      </c>
      <c r="D292" s="219"/>
      <c r="E292" s="219">
        <f>SUM(E293:E300)</f>
        <v>13.48</v>
      </c>
      <c r="F292" s="220"/>
      <c r="G292" s="208">
        <f>SUM(G293:G300)</f>
        <v>726.5</v>
      </c>
      <c r="H292" s="213"/>
      <c r="I292" s="208">
        <v>393.73</v>
      </c>
      <c r="J292" s="214">
        <f>G292-I292</f>
        <v>332.77</v>
      </c>
    </row>
    <row r="293" spans="1:10" x14ac:dyDescent="0.25">
      <c r="A293" s="182"/>
      <c r="B293" s="183"/>
      <c r="C293" s="185"/>
      <c r="D293" s="184" t="s">
        <v>379</v>
      </c>
      <c r="E293" s="185">
        <v>0</v>
      </c>
      <c r="F293" s="186">
        <v>60</v>
      </c>
      <c r="G293" s="187">
        <f>F293*E293</f>
        <v>0</v>
      </c>
      <c r="I293" s="187"/>
      <c r="J293" s="188"/>
    </row>
    <row r="294" spans="1:10" x14ac:dyDescent="0.25">
      <c r="A294" s="182"/>
      <c r="B294" s="183"/>
      <c r="C294" s="184"/>
      <c r="D294" s="184" t="s">
        <v>380</v>
      </c>
      <c r="E294" s="184">
        <v>5.25</v>
      </c>
      <c r="F294" s="186">
        <v>60</v>
      </c>
      <c r="G294" s="187">
        <f t="shared" ref="G294:G300" si="32">F294*E294</f>
        <v>315</v>
      </c>
      <c r="I294" s="187"/>
      <c r="J294" s="188"/>
    </row>
    <row r="295" spans="1:10" x14ac:dyDescent="0.25">
      <c r="A295" s="182"/>
      <c r="B295" s="183"/>
      <c r="C295" s="184"/>
      <c r="D295" s="184" t="s">
        <v>381</v>
      </c>
      <c r="E295" s="184">
        <v>0</v>
      </c>
      <c r="F295" s="186">
        <v>50</v>
      </c>
      <c r="G295" s="187">
        <f t="shared" si="32"/>
        <v>0</v>
      </c>
      <c r="I295" s="187"/>
      <c r="J295" s="188"/>
    </row>
    <row r="296" spans="1:10" x14ac:dyDescent="0.25">
      <c r="A296" s="182"/>
      <c r="B296" s="183"/>
      <c r="C296" s="184"/>
      <c r="D296" s="184" t="s">
        <v>382</v>
      </c>
      <c r="E296" s="184">
        <v>5.93</v>
      </c>
      <c r="F296" s="186">
        <v>50</v>
      </c>
      <c r="G296" s="187">
        <f t="shared" si="32"/>
        <v>296.5</v>
      </c>
      <c r="I296" s="187"/>
      <c r="J296" s="188"/>
    </row>
    <row r="297" spans="1:10" x14ac:dyDescent="0.25">
      <c r="A297" s="182"/>
      <c r="B297" s="183"/>
      <c r="C297" s="184"/>
      <c r="D297" s="184" t="s">
        <v>383</v>
      </c>
      <c r="E297" s="184">
        <v>2.2999999999999998</v>
      </c>
      <c r="F297" s="186">
        <v>50</v>
      </c>
      <c r="G297" s="187">
        <f t="shared" si="32"/>
        <v>114.99999999999999</v>
      </c>
      <c r="I297" s="187"/>
      <c r="J297" s="188"/>
    </row>
    <row r="298" spans="1:10" x14ac:dyDescent="0.25">
      <c r="A298" s="182"/>
      <c r="B298" s="183"/>
      <c r="C298" s="184"/>
      <c r="D298" s="184" t="s">
        <v>384</v>
      </c>
      <c r="E298" s="184">
        <v>0</v>
      </c>
      <c r="F298" s="186">
        <v>50</v>
      </c>
      <c r="G298" s="187">
        <f t="shared" si="32"/>
        <v>0</v>
      </c>
      <c r="I298" s="187"/>
      <c r="J298" s="188"/>
    </row>
    <row r="299" spans="1:10" x14ac:dyDescent="0.25">
      <c r="A299" s="182"/>
      <c r="B299" s="183"/>
      <c r="C299" s="184"/>
      <c r="D299" s="184" t="s">
        <v>385</v>
      </c>
      <c r="E299" s="184">
        <v>0</v>
      </c>
      <c r="F299" s="186">
        <v>75</v>
      </c>
      <c r="G299" s="187">
        <f t="shared" si="32"/>
        <v>0</v>
      </c>
      <c r="I299" s="187"/>
      <c r="J299" s="188"/>
    </row>
    <row r="300" spans="1:10" x14ac:dyDescent="0.25">
      <c r="A300" s="189"/>
      <c r="B300" s="190"/>
      <c r="C300" s="191"/>
      <c r="D300" s="191" t="s">
        <v>386</v>
      </c>
      <c r="E300" s="191">
        <v>0</v>
      </c>
      <c r="F300" s="192">
        <v>60</v>
      </c>
      <c r="G300" s="192">
        <f t="shared" si="32"/>
        <v>0</v>
      </c>
      <c r="H300" s="179"/>
      <c r="I300" s="193"/>
      <c r="J300" s="194"/>
    </row>
    <row r="301" spans="1:10" x14ac:dyDescent="0.25">
      <c r="A301" s="182"/>
      <c r="B301" s="183"/>
      <c r="C301" s="184">
        <f>SUM(C292)</f>
        <v>13.48</v>
      </c>
      <c r="D301" s="184"/>
      <c r="E301" s="184">
        <f>SUM(E292)</f>
        <v>13.48</v>
      </c>
      <c r="F301" s="184"/>
      <c r="G301" s="186">
        <f>SUM(G292)</f>
        <v>726.5</v>
      </c>
      <c r="I301" s="187">
        <f>SUM(I292)</f>
        <v>393.73</v>
      </c>
    </row>
    <row r="303" spans="1:10" x14ac:dyDescent="0.25">
      <c r="C303">
        <f>C292+C279+C267+C255+C245+C233+C221+C209+C200+C191+C182+C169+C160+C148+C139+C130+C118+C109+C98+C86+C74+C62+C52+C43+C34+C24+C23+C22+C12+C8+C7</f>
        <v>2276.92</v>
      </c>
      <c r="G303" s="188"/>
      <c r="I303" s="188"/>
    </row>
  </sheetData>
  <mergeCells count="1">
    <mergeCell ref="J8:J12"/>
  </mergeCells>
  <pageMargins left="0.7" right="0.7" top="0.75" bottom="0.75" header="0.3" footer="0.3"/>
  <pageSetup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A</vt:lpstr>
      <vt:lpstr>B</vt:lpstr>
      <vt:lpstr>SUB-FINAL RECONCILIATION</vt:lpstr>
      <vt:lpstr>SUB-FINAL LABOR</vt:lpstr>
      <vt:lpstr>A!Print_Area</vt:lpstr>
      <vt:lpstr>B!Print_Area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2026-07-10T13:13:35Z</cp:lastPrinted>
  <dcterms:created xsi:type="dcterms:W3CDTF">2015-06-05T18:17:20Z</dcterms:created>
  <dcterms:modified xsi:type="dcterms:W3CDTF">2026-07-10T13:15:28Z</dcterms:modified>
</cp:coreProperties>
</file>